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christophe.CDG43\Downloads\"/>
    </mc:Choice>
  </mc:AlternateContent>
  <xr:revisionPtr revIDLastSave="0" documentId="13_ncr:1_{34588638-C1E7-4DDF-B41B-73CB5B22B5BA}" xr6:coauthVersionLast="47" xr6:coauthVersionMax="47" xr10:uidLastSave="{00000000-0000-0000-0000-000000000000}"/>
  <workbookProtection workbookAlgorithmName="SHA-512" workbookHashValue="a9LWmBacue3ZNlPYf0oEteMewOLpkIve7sii5yCPyKIspixtFkltXSxBeQTAFKAhewgGVQVO6+9PK4NxOqBwMA==" workbookSaltValue="PkfFBPVUesYdtGlhFQ093w==" workbookSpinCount="100000" lockStructure="1"/>
  <bookViews>
    <workbookView xWindow="-120" yWindow="-120" windowWidth="29040" windowHeight="15720" firstSheet="3" activeTab="3" xr2:uid="{6C824A4F-1404-4BA3-959B-F3CBF28E1608}"/>
  </bookViews>
  <sheets>
    <sheet name="Tableau" sheetId="1" state="hidden" r:id="rId1"/>
    <sheet name="Liste" sheetId="3" state="hidden" r:id="rId2"/>
    <sheet name="indice 100" sheetId="4" state="hidden" r:id="rId3"/>
    <sheet name="Indemn Maires et Adjoints" sheetId="6" r:id="rId4"/>
  </sheets>
  <definedNames>
    <definedName name="Commune">#REF!</definedName>
    <definedName name="NCol">#REF!</definedName>
    <definedName name="NCommune">Liste!$A$25:$A$26</definedName>
    <definedName name="NPop_dep">Liste!$G$2:$G$6</definedName>
    <definedName name="Ntranchceop_CA">Liste!$E$2:$E$9</definedName>
    <definedName name="NTranchepop">Liste!$C$2:$C$24</definedName>
    <definedName name="NType2col">Liste!$A$16:$A$21</definedName>
    <definedName name="Ntypecol">Liste!$A$2:$A$9</definedName>
    <definedName name="TType2col">Liste!$A$15:$A$21</definedName>
    <definedName name="_xlnm.Print_Area" localSheetId="3">'Indemn Maires et Adjoints'!$A$1:$I$42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6" l="1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20" i="6"/>
  <c r="C36" i="6"/>
  <c r="D36" i="6" s="1"/>
  <c r="C37" i="6"/>
  <c r="D37" i="6" s="1"/>
  <c r="C38" i="6"/>
  <c r="D38" i="6" s="1"/>
  <c r="C39" i="6"/>
  <c r="D39" i="6" s="1"/>
  <c r="C40" i="6"/>
  <c r="D40" i="6" s="1"/>
  <c r="E13" i="6"/>
  <c r="E12" i="6"/>
  <c r="D20" i="6" s="1"/>
  <c r="E7" i="6"/>
  <c r="B9" i="6"/>
  <c r="B10" i="6"/>
  <c r="B8" i="6"/>
  <c r="J6" i="6" s="1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5" i="6"/>
  <c r="B14" i="6"/>
  <c r="G13" i="6"/>
  <c r="B13" i="6"/>
  <c r="G12" i="6"/>
  <c r="B12" i="6"/>
  <c r="B7" i="6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C31" i="6" l="1"/>
  <c r="D31" i="6" s="1"/>
  <c r="C32" i="6"/>
  <c r="D32" i="6" s="1"/>
  <c r="C33" i="6"/>
  <c r="D33" i="6" s="1"/>
  <c r="C34" i="6"/>
  <c r="D34" i="6" s="1"/>
  <c r="C35" i="6"/>
  <c r="D35" i="6" s="1"/>
  <c r="C26" i="6"/>
  <c r="D26" i="6" s="1"/>
  <c r="C27" i="6"/>
  <c r="D27" i="6" s="1"/>
  <c r="C28" i="6"/>
  <c r="D28" i="6" s="1"/>
  <c r="C29" i="6"/>
  <c r="D29" i="6" s="1"/>
  <c r="C30" i="6"/>
  <c r="D30" i="6" s="1"/>
  <c r="C24" i="6"/>
  <c r="D24" i="6" s="1"/>
  <c r="C25" i="6"/>
  <c r="D25" i="6" s="1"/>
  <c r="C22" i="6"/>
  <c r="D22" i="6" s="1"/>
  <c r="C23" i="6"/>
  <c r="D23" i="6" s="1"/>
  <c r="C21" i="6"/>
  <c r="D21" i="6" s="1"/>
  <c r="E9" i="6"/>
  <c r="H41" i="6" l="1"/>
  <c r="D41" i="6"/>
  <c r="E14" i="6"/>
  <c r="C42" i="6" l="1"/>
  <c r="E15" i="6"/>
  <c r="G42" i="6"/>
  <c r="F6" i="4" l="1"/>
  <c r="G25" i="1"/>
  <c r="C25" i="1"/>
  <c r="G19" i="1"/>
  <c r="G18" i="1"/>
  <c r="C19" i="1"/>
  <c r="C18" i="1"/>
  <c r="G6" i="1"/>
  <c r="G7" i="1"/>
  <c r="G8" i="1"/>
  <c r="G9" i="1"/>
  <c r="G10" i="1"/>
  <c r="G11" i="1"/>
  <c r="G12" i="1"/>
  <c r="G13" i="1"/>
  <c r="G14" i="1"/>
  <c r="G15" i="1"/>
  <c r="G16" i="1"/>
  <c r="G17" i="1"/>
  <c r="G20" i="1"/>
  <c r="G21" i="1"/>
  <c r="G22" i="1"/>
  <c r="G23" i="1"/>
  <c r="G24" i="1"/>
  <c r="G26" i="1"/>
  <c r="G5" i="1"/>
  <c r="C15" i="1" l="1"/>
  <c r="C16" i="1"/>
  <c r="C17" i="1"/>
  <c r="C20" i="1"/>
  <c r="C21" i="1"/>
  <c r="C22" i="1"/>
  <c r="C23" i="1"/>
  <c r="C24" i="1"/>
  <c r="C26" i="1"/>
  <c r="C8" i="1"/>
  <c r="C14" i="1"/>
  <c r="C13" i="1"/>
  <c r="C12" i="1"/>
  <c r="C11" i="1"/>
  <c r="C10" i="1"/>
  <c r="C9" i="1"/>
  <c r="C7" i="1"/>
  <c r="C6" i="1"/>
  <c r="C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 PHILIPPON</author>
  </authors>
  <commentList>
    <comment ref="E6" authorId="0" shapeId="0" xr:uid="{5F09F5C1-9F11-4198-A6D0-E57B87EF9371}">
      <text>
        <r>
          <rPr>
            <sz val="9"/>
            <color indexed="81"/>
            <rFont val="Sgoe UI"/>
          </rPr>
          <t>En application de l'article L.2113-8 du CGCT, si la commune est une commune nouvelle, appliquer la strate de population immédiatement supérieure à la population réelle</t>
        </r>
      </text>
    </comment>
    <comment ref="G20" authorId="0" shapeId="0" xr:uid="{5631C654-0BD2-4204-ABF7-1735BB5F8CAB}">
      <text>
        <r>
          <rPr>
            <sz val="9"/>
            <color indexed="81"/>
            <rFont val="Segoe UI"/>
            <family val="2"/>
          </rPr>
          <t>Indiquer en %  de l'indice brut 1027 l'indemnité du Maire. 
Par défaut, le taux maxi  est celui indiqué dans le tableau de gauche</t>
        </r>
      </text>
    </comment>
    <comment ref="G21" authorId="0" shapeId="0" xr:uid="{C709AD88-8CA4-4450-8387-44F6A409A5E5}">
      <text>
        <r>
          <rPr>
            <sz val="9"/>
            <color indexed="81"/>
            <rFont val="Segoe UI"/>
            <family val="2"/>
          </rPr>
          <t xml:space="preserve">Indiquer en % de l'indice brut 1027  le taux à attribuer  à l'adjoint. L'indemnité d'un même adjoint ne peut dépasser l'indemnité  maximum du Maire. </t>
        </r>
      </text>
    </comment>
  </commentList>
</comments>
</file>

<file path=xl/sharedStrings.xml><?xml version="1.0" encoding="utf-8"?>
<sst xmlns="http://schemas.openxmlformats.org/spreadsheetml/2006/main" count="196" uniqueCount="104">
  <si>
    <t>Population</t>
  </si>
  <si>
    <t>Moins de 100 hab</t>
  </si>
  <si>
    <t>De 100 à 499 hab</t>
  </si>
  <si>
    <t>De 1 500 à 2 499 hab</t>
  </si>
  <si>
    <t>De 2 500 à 3 499 hab</t>
  </si>
  <si>
    <t>De 3 500 à 4 999 hab</t>
  </si>
  <si>
    <t>De 5 000 à 9 999 hab</t>
  </si>
  <si>
    <t>De 10 000 à 19 999 hab</t>
  </si>
  <si>
    <t>Nbre conseillers municipaux</t>
  </si>
  <si>
    <t>Nbre maxi d'adjoints</t>
  </si>
  <si>
    <t>Taux maxi indem du Maire</t>
  </si>
  <si>
    <t>De 1 000 à 1 499 hab</t>
  </si>
  <si>
    <t>De 500 à 999 hab</t>
  </si>
  <si>
    <t>De 20 000 à 29 999 hab</t>
  </si>
  <si>
    <t>De 30 000 à 39 999 hab</t>
  </si>
  <si>
    <t>De 40 000 à 49 999 hab</t>
  </si>
  <si>
    <t>De 50 000 à 59 999 hab</t>
  </si>
  <si>
    <t>De 80 000 à 99 999 hab</t>
  </si>
  <si>
    <t>De 100 000 à 149 999 hab</t>
  </si>
  <si>
    <t>De 150 000 à 199 999 hab</t>
  </si>
  <si>
    <t>De 200 000 à 249 999 hab</t>
  </si>
  <si>
    <t>De 250 000 à 299 999 hab</t>
  </si>
  <si>
    <t>Taux maxi indem Adjoint</t>
  </si>
  <si>
    <t>Type collectivité</t>
  </si>
  <si>
    <t>Commune</t>
  </si>
  <si>
    <t>Communauté de communes</t>
  </si>
  <si>
    <t>Communauté d'agglomération</t>
  </si>
  <si>
    <t>Département</t>
  </si>
  <si>
    <t>Région</t>
  </si>
  <si>
    <t>Type collectivités</t>
  </si>
  <si>
    <t>POPULATION</t>
  </si>
  <si>
    <t>TAUX EN %</t>
  </si>
  <si>
    <t>Président</t>
  </si>
  <si>
    <t>Vice-président</t>
  </si>
  <si>
    <t>Moins de 500</t>
  </si>
  <si>
    <t>De 500 à 999</t>
  </si>
  <si>
    <t>De 1 000 à 3 499</t>
  </si>
  <si>
    <t>De 3 500 à 9 999</t>
  </si>
  <si>
    <t>De 10 000 à 19 999</t>
  </si>
  <si>
    <t>De 20 000 à 49 999</t>
  </si>
  <si>
    <t>De 50 000 à 99 999</t>
  </si>
  <si>
    <t>De 100 000 à 199 999</t>
  </si>
  <si>
    <t>Plus de 200 000</t>
  </si>
  <si>
    <t>Communautés de communes</t>
  </si>
  <si>
    <t>Communes</t>
  </si>
  <si>
    <t>Nbre conseillers communautaires</t>
  </si>
  <si>
    <t>Nbre maxi Vice-présidents</t>
  </si>
  <si>
    <t>Taux maxi indem du Président</t>
  </si>
  <si>
    <t>Taux maxi indem Vice-Président</t>
  </si>
  <si>
    <t>Art L5211-10</t>
  </si>
  <si>
    <t>Art L5211-6-1</t>
  </si>
  <si>
    <t>De 60 000 à 74 999 hab</t>
  </si>
  <si>
    <t>De 75 000 à 79 999 hab</t>
  </si>
  <si>
    <t>De 300 000 à 349 999 hab</t>
  </si>
  <si>
    <t>Et de 350 000 et au-dessus</t>
  </si>
  <si>
    <t>Indice brut terminal</t>
  </si>
  <si>
    <t>Indice majoré correspondant à l'ind brut</t>
  </si>
  <si>
    <t>Traitement correspondant à l'indice maxi</t>
  </si>
  <si>
    <t>Art L2122-2</t>
  </si>
  <si>
    <t>Art L2123-23</t>
  </si>
  <si>
    <t>Art L2121-2</t>
  </si>
  <si>
    <t>Art L2123-24</t>
  </si>
  <si>
    <t>Art R 5214-1</t>
  </si>
  <si>
    <t>Art L5211-6-2</t>
  </si>
  <si>
    <t>Art L5211-11</t>
  </si>
  <si>
    <t>Art R 5214-2</t>
  </si>
  <si>
    <t>Communautés d'agglomération</t>
  </si>
  <si>
    <t>Répartition de l'enveloppe des indemnités</t>
  </si>
  <si>
    <t>Elus</t>
  </si>
  <si>
    <t>Total</t>
  </si>
  <si>
    <t xml:space="preserve">Nom de la collectivité </t>
  </si>
  <si>
    <t>Art R 5216-1</t>
  </si>
  <si>
    <t>Pop_CA</t>
  </si>
  <si>
    <t>De 20 000 à 49 999 hab</t>
  </si>
  <si>
    <t>De 50 000 à 99 999 hab</t>
  </si>
  <si>
    <t>De 100 000 à 199 999 hab</t>
  </si>
  <si>
    <t>Syndicats mixtes fermés 
associant uniquement communes et EPCI</t>
  </si>
  <si>
    <t>Syndicat mixte fermé</t>
  </si>
  <si>
    <t>Syndicat mixte ouvert</t>
  </si>
  <si>
    <t>Syndicats mixtes ouverts 
associant communes, EPCI, département, région</t>
  </si>
  <si>
    <t>Tranche de population inappropriée</t>
  </si>
  <si>
    <t>Taux maxi indem du Maire 2020</t>
  </si>
  <si>
    <t>Valeur annuelle de l'indice 100 (au 1/07/2023)</t>
  </si>
  <si>
    <t>Tranche de population</t>
  </si>
  <si>
    <t>Départements</t>
  </si>
  <si>
    <t>Régions</t>
  </si>
  <si>
    <t>Nbre conseillers départementaux</t>
  </si>
  <si>
    <t>Nbre conseillers régionaux</t>
  </si>
  <si>
    <t>Art L3123-17</t>
  </si>
  <si>
    <t>Taux maxi membre com. Perm.</t>
  </si>
  <si>
    <t>Taux maxi conseiler départemental</t>
  </si>
  <si>
    <t>Répartition théorique</t>
  </si>
  <si>
    <t>Répartition effective</t>
  </si>
  <si>
    <t>Pop Département</t>
  </si>
  <si>
    <t>Moins de 250 000 hab</t>
  </si>
  <si>
    <t>De 250 000 à moins de 500 000 hab</t>
  </si>
  <si>
    <t>De 500 000 à moins de 1 million d'hab</t>
  </si>
  <si>
    <t>De 1 million à moins de 1,25 million d'hab</t>
  </si>
  <si>
    <t>Taux maxi</t>
  </si>
  <si>
    <t>1,25 millions d'hab et plus</t>
  </si>
  <si>
    <t>Maire</t>
  </si>
  <si>
    <t>Type commune</t>
  </si>
  <si>
    <t>Taux (en % de l'IB 1027)</t>
  </si>
  <si>
    <t>Montant brut mensuel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</si>
</sst>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7"/>
      <color rgb="FF000000"/>
      <name val="Arial"/>
      <family val="2"/>
    </font>
    <font>
      <b/>
      <sz val="10"/>
      <color theme="1"/>
      <name val="Tahoma"/>
      <family val="2"/>
    </font>
    <font>
      <i/>
      <sz val="8"/>
      <color theme="1"/>
      <name val="Tahoma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10"/>
      <color theme="0"/>
      <name val="Segoe UI"/>
      <family val="2"/>
    </font>
    <font>
      <b/>
      <sz val="10"/>
      <color rgb="FFFF0000"/>
      <name val="Segoe UI"/>
      <family val="2"/>
    </font>
    <font>
      <b/>
      <sz val="10"/>
      <color theme="0"/>
      <name val="Segoe UI"/>
      <family val="2"/>
    </font>
    <font>
      <sz val="10"/>
      <color theme="1" tint="-0.249977111117893"/>
      <name val="Segoe UI"/>
      <family val="2"/>
    </font>
    <font>
      <b/>
      <sz val="10"/>
      <color theme="1" tint="-0.249977111117893"/>
      <name val="Segoe UI"/>
      <family val="2"/>
    </font>
    <font>
      <i/>
      <sz val="10"/>
      <color theme="1" tint="-0.249977111117893"/>
      <name val="Segoe UI"/>
      <family val="2"/>
    </font>
    <font>
      <b/>
      <sz val="10"/>
      <color theme="9"/>
      <name val="Segoe UI"/>
      <family val="2"/>
    </font>
    <font>
      <sz val="9"/>
      <color indexed="81"/>
      <name val="Segoe UI"/>
      <family val="2"/>
    </font>
    <font>
      <b/>
      <sz val="12"/>
      <color theme="9"/>
      <name val="Segoe UI"/>
      <family val="2"/>
    </font>
    <font>
      <sz val="9"/>
      <color theme="9"/>
      <name val="Segoe UI"/>
      <family val="2"/>
    </font>
    <font>
      <sz val="9"/>
      <color indexed="81"/>
      <name val="Sgoe UI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909B0"/>
      </left>
      <right style="medium">
        <color rgb="FF0909B0"/>
      </right>
      <top style="medium">
        <color rgb="FF0909B0"/>
      </top>
      <bottom style="medium">
        <color rgb="FF0909B0"/>
      </bottom>
      <diagonal/>
    </border>
    <border>
      <left style="medium">
        <color rgb="FF0909B0"/>
      </left>
      <right style="medium">
        <color rgb="FF0909B0"/>
      </right>
      <top style="medium">
        <color rgb="FF0909B0"/>
      </top>
      <bottom/>
      <diagonal/>
    </border>
    <border>
      <left style="medium">
        <color rgb="FF0909B0"/>
      </left>
      <right style="medium">
        <color rgb="FF0909B0"/>
      </right>
      <top/>
      <bottom style="medium">
        <color rgb="FF0909B0"/>
      </bottom>
      <diagonal/>
    </border>
    <border>
      <left style="medium">
        <color rgb="FF0909B0"/>
      </left>
      <right/>
      <top style="medium">
        <color rgb="FF0909B0"/>
      </top>
      <bottom style="medium">
        <color rgb="FF0909B0"/>
      </bottom>
      <diagonal/>
    </border>
    <border>
      <left/>
      <right style="medium">
        <color rgb="FF0909B0"/>
      </right>
      <top style="medium">
        <color rgb="FF0909B0"/>
      </top>
      <bottom style="medium">
        <color rgb="FF0909B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39994506668294322"/>
      </left>
      <right style="thin">
        <color theme="1" tint="0.39994506668294322"/>
      </right>
      <top style="thin">
        <color theme="1" tint="0.39994506668294322"/>
      </top>
      <bottom style="thin">
        <color theme="1" tint="0.39994506668294322"/>
      </bottom>
      <diagonal/>
    </border>
    <border>
      <left style="thin">
        <color theme="1" tint="0.39994506668294322"/>
      </left>
      <right/>
      <top style="thin">
        <color theme="1" tint="0.39994506668294322"/>
      </top>
      <bottom style="thin">
        <color theme="1" tint="0.39994506668294322"/>
      </bottom>
      <diagonal/>
    </border>
    <border>
      <left/>
      <right/>
      <top style="thin">
        <color theme="1" tint="0.39994506668294322"/>
      </top>
      <bottom style="thin">
        <color theme="1" tint="0.39994506668294322"/>
      </bottom>
      <diagonal/>
    </border>
    <border>
      <left/>
      <right style="thin">
        <color theme="1" tint="0.39994506668294322"/>
      </right>
      <top style="thin">
        <color theme="1" tint="0.39994506668294322"/>
      </top>
      <bottom style="thin">
        <color theme="1" tint="0.399945066682943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ck">
        <color theme="1"/>
      </left>
      <right style="thin">
        <color theme="1"/>
      </right>
      <top style="thick">
        <color theme="1"/>
      </top>
      <bottom style="thick">
        <color theme="1"/>
      </bottom>
      <diagonal/>
    </border>
    <border>
      <left style="thin">
        <color theme="1"/>
      </left>
      <right style="thin">
        <color theme="1"/>
      </right>
      <top style="thick">
        <color theme="1"/>
      </top>
      <bottom style="thick">
        <color theme="1"/>
      </bottom>
      <diagonal/>
    </border>
    <border>
      <left style="thin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theme="1" tint="0.39994506668294322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1" tint="0.39994506668294322"/>
      </bottom>
      <diagonal/>
    </border>
    <border>
      <left style="thin">
        <color theme="0"/>
      </left>
      <right style="thin">
        <color theme="1"/>
      </right>
      <top style="thin">
        <color theme="1"/>
      </top>
      <bottom style="thin">
        <color theme="1" tint="0.3999450666829432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ck">
        <color theme="1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71">
    <xf numFmtId="0" fontId="0" fillId="0" borderId="0" xfId="0"/>
    <xf numFmtId="1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 applyProtection="1">
      <alignment vertical="center"/>
      <protection hidden="1"/>
    </xf>
    <xf numFmtId="9" fontId="7" fillId="0" borderId="0" xfId="1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164" fontId="8" fillId="0" borderId="0" xfId="0" applyNumberFormat="1" applyFont="1" applyAlignment="1" applyProtection="1">
      <alignment horizontal="center" vertical="center"/>
      <protection hidden="1"/>
    </xf>
    <xf numFmtId="164" fontId="12" fillId="0" borderId="16" xfId="0" applyNumberFormat="1" applyFont="1" applyBorder="1" applyAlignment="1" applyProtection="1">
      <alignment horizontal="center" vertical="center"/>
      <protection hidden="1"/>
    </xf>
    <xf numFmtId="164" fontId="12" fillId="0" borderId="16" xfId="0" applyNumberFormat="1" applyFont="1" applyBorder="1" applyAlignment="1" applyProtection="1">
      <alignment horizontal="center" vertical="center"/>
      <protection locked="0"/>
    </xf>
    <xf numFmtId="164" fontId="13" fillId="0" borderId="19" xfId="0" applyNumberFormat="1" applyFont="1" applyBorder="1" applyAlignment="1" applyProtection="1">
      <alignment horizontal="center" vertical="center"/>
      <protection hidden="1"/>
    </xf>
    <xf numFmtId="0" fontId="11" fillId="4" borderId="20" xfId="0" applyFont="1" applyFill="1" applyBorder="1" applyAlignment="1" applyProtection="1">
      <alignment horizontal="center" vertical="center" wrapText="1"/>
      <protection hidden="1"/>
    </xf>
    <xf numFmtId="0" fontId="12" fillId="0" borderId="23" xfId="0" applyFont="1" applyBorder="1" applyAlignment="1" applyProtection="1">
      <alignment horizontal="center" vertical="center"/>
      <protection hidden="1"/>
    </xf>
    <xf numFmtId="164" fontId="12" fillId="0" borderId="23" xfId="0" applyNumberFormat="1" applyFont="1" applyBorder="1" applyAlignment="1" applyProtection="1">
      <alignment horizontal="center" vertical="center"/>
      <protection hidden="1"/>
    </xf>
    <xf numFmtId="0" fontId="12" fillId="0" borderId="16" xfId="0" applyFont="1" applyBorder="1" applyAlignment="1" applyProtection="1">
      <alignment horizontal="center" vertical="center"/>
      <protection hidden="1"/>
    </xf>
    <xf numFmtId="0" fontId="11" fillId="4" borderId="24" xfId="0" applyFont="1" applyFill="1" applyBorder="1" applyAlignment="1" applyProtection="1">
      <alignment horizontal="center" vertical="center" wrapText="1"/>
      <protection hidden="1"/>
    </xf>
    <xf numFmtId="0" fontId="7" fillId="0" borderId="16" xfId="0" applyFont="1" applyBorder="1" applyAlignment="1" applyProtection="1">
      <alignment horizontal="center" vertical="center"/>
      <protection locked="0" hidden="1"/>
    </xf>
    <xf numFmtId="9" fontId="0" fillId="0" borderId="0" xfId="1" applyFont="1" applyAlignment="1">
      <alignment horizontal="center"/>
    </xf>
    <xf numFmtId="0" fontId="7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10" fontId="12" fillId="0" borderId="23" xfId="1" applyNumberFormat="1" applyFont="1" applyBorder="1" applyAlignment="1" applyProtection="1">
      <alignment horizontal="center" vertical="center"/>
      <protection hidden="1"/>
    </xf>
    <xf numFmtId="10" fontId="12" fillId="0" borderId="16" xfId="1" applyNumberFormat="1" applyFont="1" applyBorder="1" applyAlignment="1" applyProtection="1">
      <alignment horizontal="center" vertical="center"/>
      <protection hidden="1"/>
    </xf>
    <xf numFmtId="164" fontId="12" fillId="0" borderId="27" xfId="0" applyNumberFormat="1" applyFont="1" applyBorder="1" applyAlignment="1" applyProtection="1">
      <alignment horizontal="center" vertical="center"/>
      <protection hidden="1"/>
    </xf>
    <xf numFmtId="10" fontId="12" fillId="0" borderId="16" xfId="1" applyNumberFormat="1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 wrapText="1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4" borderId="25" xfId="0" applyFont="1" applyFill="1" applyBorder="1" applyAlignment="1" applyProtection="1">
      <alignment horizontal="center" vertical="center" wrapText="1"/>
      <protection hidden="1"/>
    </xf>
    <xf numFmtId="0" fontId="11" fillId="4" borderId="26" xfId="0" applyFont="1" applyFill="1" applyBorder="1" applyAlignment="1" applyProtection="1">
      <alignment horizontal="center" vertical="center" wrapText="1"/>
      <protection hidden="1"/>
    </xf>
    <xf numFmtId="0" fontId="11" fillId="4" borderId="21" xfId="0" applyFont="1" applyFill="1" applyBorder="1" applyAlignment="1" applyProtection="1">
      <alignment horizontal="center" vertical="center" wrapText="1"/>
      <protection hidden="1"/>
    </xf>
    <xf numFmtId="0" fontId="11" fillId="4" borderId="22" xfId="0" applyFont="1" applyFill="1" applyBorder="1" applyAlignment="1" applyProtection="1">
      <alignment horizontal="center" vertical="center" wrapText="1"/>
      <protection hidden="1"/>
    </xf>
    <xf numFmtId="0" fontId="13" fillId="0" borderId="17" xfId="0" applyFont="1" applyBorder="1" applyAlignment="1" applyProtection="1">
      <alignment horizontal="center" vertical="center"/>
      <protection hidden="1"/>
    </xf>
    <xf numFmtId="0" fontId="13" fillId="0" borderId="18" xfId="0" applyFont="1" applyBorder="1" applyAlignment="1" applyProtection="1">
      <alignment horizontal="center" vertical="center"/>
      <protection hidden="1"/>
    </xf>
    <xf numFmtId="0" fontId="12" fillId="0" borderId="9" xfId="0" applyFont="1" applyBorder="1" applyAlignment="1" applyProtection="1">
      <alignment horizontal="center" vertical="center"/>
      <protection hidden="1"/>
    </xf>
    <xf numFmtId="0" fontId="13" fillId="0" borderId="9" xfId="0" applyFont="1" applyBorder="1" applyAlignment="1" applyProtection="1">
      <alignment horizontal="center" vertical="center"/>
      <protection hidden="1"/>
    </xf>
    <xf numFmtId="0" fontId="12" fillId="0" borderId="9" xfId="0" applyFont="1" applyBorder="1" applyAlignment="1" applyProtection="1">
      <alignment horizontal="center" vertical="center"/>
      <protection locked="0" hidden="1"/>
    </xf>
    <xf numFmtId="0" fontId="13" fillId="0" borderId="10" xfId="0" applyFont="1" applyBorder="1" applyAlignment="1" applyProtection="1">
      <alignment horizontal="center" vertical="center"/>
      <protection hidden="1"/>
    </xf>
    <xf numFmtId="0" fontId="13" fillId="0" borderId="11" xfId="0" applyFont="1" applyBorder="1" applyAlignment="1" applyProtection="1">
      <alignment horizontal="center" vertical="center"/>
      <protection hidden="1"/>
    </xf>
    <xf numFmtId="0" fontId="13" fillId="0" borderId="12" xfId="0" applyFont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164" fontId="12" fillId="0" borderId="10" xfId="0" applyNumberFormat="1" applyFont="1" applyBorder="1" applyAlignment="1" applyProtection="1">
      <alignment horizontal="center" vertical="center"/>
      <protection hidden="1"/>
    </xf>
    <xf numFmtId="164" fontId="12" fillId="0" borderId="11" xfId="0" applyNumberFormat="1" applyFont="1" applyBorder="1" applyAlignment="1" applyProtection="1">
      <alignment horizontal="center" vertical="center"/>
      <protection hidden="1"/>
    </xf>
    <xf numFmtId="164" fontId="12" fillId="0" borderId="12" xfId="0" applyNumberFormat="1" applyFont="1" applyBorder="1" applyAlignment="1" applyProtection="1">
      <alignment horizontal="center" vertical="center"/>
      <protection hidden="1"/>
    </xf>
    <xf numFmtId="0" fontId="12" fillId="0" borderId="10" xfId="0" applyFont="1" applyBorder="1" applyAlignment="1" applyProtection="1">
      <alignment horizontal="center" vertical="center"/>
      <protection locked="0" hidden="1"/>
    </xf>
    <xf numFmtId="0" fontId="12" fillId="0" borderId="11" xfId="0" applyFont="1" applyBorder="1" applyAlignment="1" applyProtection="1">
      <alignment horizontal="center" vertical="center"/>
      <protection locked="0" hidden="1"/>
    </xf>
    <xf numFmtId="0" fontId="12" fillId="0" borderId="12" xfId="0" applyFont="1" applyBorder="1" applyAlignment="1" applyProtection="1">
      <alignment horizontal="center" vertical="center"/>
      <protection locked="0" hidden="1"/>
    </xf>
    <xf numFmtId="0" fontId="15" fillId="0" borderId="9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hidden="1"/>
    </xf>
    <xf numFmtId="0" fontId="14" fillId="0" borderId="12" xfId="0" applyFont="1" applyBorder="1" applyAlignment="1" applyProtection="1">
      <alignment horizontal="center" vertical="center"/>
      <protection hidden="1"/>
    </xf>
    <xf numFmtId="2" fontId="12" fillId="0" borderId="10" xfId="0" applyNumberFormat="1" applyFont="1" applyBorder="1" applyAlignment="1" applyProtection="1">
      <alignment horizontal="center" vertical="center"/>
      <protection hidden="1"/>
    </xf>
    <xf numFmtId="2" fontId="12" fillId="0" borderId="12" xfId="0" applyNumberFormat="1" applyFont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219255</xdr:colOff>
      <xdr:row>2</xdr:row>
      <xdr:rowOff>117102</xdr:rowOff>
    </xdr:to>
    <xdr:pic>
      <xdr:nvPicPr>
        <xdr:cNvPr id="2" name="Graphique 2">
          <a:extLst>
            <a:ext uri="{FF2B5EF4-FFF2-40B4-BE49-F238E27FC236}">
              <a16:creationId xmlns:a16="http://schemas.microsoft.com/office/drawing/2014/main" id="{CF4F7D91-E344-4D93-A018-02FAC90D49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 l="13014" t="17613" b="1"/>
        <a:stretch>
          <a:fillRect/>
        </a:stretch>
      </xdr:blipFill>
      <xdr:spPr>
        <a:xfrm>
          <a:off x="0" y="0"/>
          <a:ext cx="1667055" cy="1164852"/>
        </a:xfrm>
        <a:prstGeom prst="rect">
          <a:avLst/>
        </a:prstGeom>
      </xdr:spPr>
    </xdr:pic>
    <xdr:clientData/>
  </xdr:twoCellAnchor>
  <xdr:twoCellAnchor>
    <xdr:from>
      <xdr:col>2</xdr:col>
      <xdr:colOff>304800</xdr:colOff>
      <xdr:row>0</xdr:row>
      <xdr:rowOff>0</xdr:rowOff>
    </xdr:from>
    <xdr:to>
      <xdr:col>8</xdr:col>
      <xdr:colOff>23722</xdr:colOff>
      <xdr:row>1</xdr:row>
      <xdr:rowOff>335172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1FD6CD33-B6BF-47B3-8EFF-8918D6E12B8A}"/>
            </a:ext>
          </a:extLst>
        </xdr:cNvPr>
        <xdr:cNvSpPr txBox="1"/>
      </xdr:nvSpPr>
      <xdr:spPr>
        <a:xfrm>
          <a:off x="1752600" y="0"/>
          <a:ext cx="4262347" cy="88762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fr-FR" sz="2400">
              <a:solidFill>
                <a:schemeClr val="tx1"/>
              </a:solidFill>
              <a:latin typeface="Segoe UI" panose="020B0502040204020203" pitchFamily="34" charset="0"/>
              <a:cs typeface="Segoe UI" panose="020B0502040204020203" pitchFamily="34" charset="0"/>
            </a:rPr>
            <a:t>Calcul</a:t>
          </a:r>
          <a:r>
            <a:rPr lang="fr-FR" sz="2400" baseline="0">
              <a:solidFill>
                <a:schemeClr val="tx1"/>
              </a:solidFill>
              <a:latin typeface="Segoe UI" panose="020B0502040204020203" pitchFamily="34" charset="0"/>
              <a:cs typeface="Segoe UI" panose="020B0502040204020203" pitchFamily="34" charset="0"/>
            </a:rPr>
            <a:t> indemnités des élus</a:t>
          </a:r>
          <a:endParaRPr lang="fr-FR" sz="2400">
            <a:solidFill>
              <a:schemeClr val="tx1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 editAs="absolute">
    <xdr:from>
      <xdr:col>6</xdr:col>
      <xdr:colOff>366346</xdr:colOff>
      <xdr:row>14</xdr:row>
      <xdr:rowOff>124558</xdr:rowOff>
    </xdr:from>
    <xdr:to>
      <xdr:col>9</xdr:col>
      <xdr:colOff>3407020</xdr:colOff>
      <xdr:row>19</xdr:row>
      <xdr:rowOff>87923</xdr:rowOff>
    </xdr:to>
    <xdr:grpSp>
      <xdr:nvGrpSpPr>
        <xdr:cNvPr id="10" name="Groupe 9">
          <a:extLst>
            <a:ext uri="{FF2B5EF4-FFF2-40B4-BE49-F238E27FC236}">
              <a16:creationId xmlns:a16="http://schemas.microsoft.com/office/drawing/2014/main" id="{07C52AB9-27EF-75A5-1C9E-C71C27C7F509}"/>
            </a:ext>
          </a:extLst>
        </xdr:cNvPr>
        <xdr:cNvGrpSpPr/>
      </xdr:nvGrpSpPr>
      <xdr:grpSpPr>
        <a:xfrm>
          <a:off x="4769827" y="4022481"/>
          <a:ext cx="5106866" cy="1055077"/>
          <a:chOff x="4769827" y="4022481"/>
          <a:chExt cx="5106866" cy="1055077"/>
        </a:xfrm>
      </xdr:grpSpPr>
      <xdr:cxnSp macro="">
        <xdr:nvCxnSpPr>
          <xdr:cNvPr id="7" name="Connecteur droit avec flèche 6">
            <a:extLst>
              <a:ext uri="{FF2B5EF4-FFF2-40B4-BE49-F238E27FC236}">
                <a16:creationId xmlns:a16="http://schemas.microsoft.com/office/drawing/2014/main" id="{9A58FA86-04F3-34A4-2B1E-5380A52AF5AE}"/>
              </a:ext>
            </a:extLst>
          </xdr:cNvPr>
          <xdr:cNvCxnSpPr/>
        </xdr:nvCxnSpPr>
        <xdr:spPr bwMode="auto">
          <a:xfrm flipH="1">
            <a:off x="4769827" y="4256942"/>
            <a:ext cx="1721827" cy="395654"/>
          </a:xfrm>
          <a:prstGeom prst="straightConnector1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chemeClr val="tx1"/>
            </a:solidFill>
            <a:prstDash val="solid"/>
            <a:round/>
            <a:headEnd type="none" w="med" len="med"/>
            <a:tailEnd type="triangle" w="med" len="lg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sp macro="" textlink="">
        <xdr:nvSpPr>
          <xdr:cNvPr id="4" name="ZoneTexte 3">
            <a:extLst>
              <a:ext uri="{FF2B5EF4-FFF2-40B4-BE49-F238E27FC236}">
                <a16:creationId xmlns:a16="http://schemas.microsoft.com/office/drawing/2014/main" id="{B533C610-7C7B-0813-D98C-CA980F3631C3}"/>
              </a:ext>
            </a:extLst>
          </xdr:cNvPr>
          <xdr:cNvSpPr txBox="1"/>
        </xdr:nvSpPr>
        <xdr:spPr>
          <a:xfrm>
            <a:off x="6352443" y="4022481"/>
            <a:ext cx="3524250" cy="1055077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900">
                <a:solidFill>
                  <a:schemeClr val="tx1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Compléter le tableau en prenant en compte la répartition choisie par le conseil municipal dans la limite du plafond autorisé.</a:t>
            </a:r>
          </a:p>
          <a:p>
            <a:endParaRPr lang="fr-FR" sz="900">
              <a:solidFill>
                <a:schemeClr val="tx1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  <a:p>
            <a:r>
              <a:rPr lang="fr-FR" sz="900" b="1">
                <a:solidFill>
                  <a:schemeClr val="accent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Attention : </a:t>
            </a:r>
          </a:p>
          <a:p>
            <a:r>
              <a:rPr lang="fr-FR" sz="900">
                <a:solidFill>
                  <a:schemeClr val="tx1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L'indemnité d'un adjoint ne peut pas être supérieure à l'indemnité maximale du maire. </a:t>
            </a:r>
          </a:p>
        </xdr:txBody>
      </xdr:sp>
    </xdr:grp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C298F-694B-4866-ADBE-A33FC5EA9DFB}" name="Ttypecol" displayName="Ttypecol" ref="A1:A9" totalsRowShown="0">
  <autoFilter ref="A1:A9" xr:uid="{690B534D-C0FC-43FD-BA23-FAD13B1A30B4}"/>
  <tableColumns count="1">
    <tableColumn id="1" xr3:uid="{A79AFD66-6E00-4D91-8FD1-3CC8003EEAEE}" name="Type collectivités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A1AAAED-FAFB-4659-A578-4A0EC77EF104}" name="Ttranchepol" displayName="Ttranchepol" ref="C1:C24" totalsRowShown="0" headerRowDxfId="12" dataDxfId="10" headerRowBorderDxfId="11" tableBorderDxfId="9">
  <autoFilter ref="C1:C24" xr:uid="{1708F19B-A617-4A1A-8354-3FFA0F1119A1}"/>
  <tableColumns count="1">
    <tableColumn id="1" xr3:uid="{ECCA7578-CD9F-4AD7-844B-5B5421675ACD}" name="Population" dataDxfId="8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8979C44-5C3B-484E-A2EE-CD8FBC4780F5}" name="Tableau2" displayName="Tableau2" ref="E1:E9" totalsRowShown="0" headerRowDxfId="7" dataDxfId="6" tableBorderDxfId="5">
  <autoFilter ref="E1:E9" xr:uid="{0E60E390-A8EB-4B8D-8BA3-5F889D779ED1}"/>
  <tableColumns count="1">
    <tableColumn id="1" xr3:uid="{0B0680B6-6A9A-4F0D-9FD3-04B466ED7B7B}" name="Pop_CA" dataDxfId="4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8B51B83-19CD-4E7F-94D4-2B63CC810F8A}" name="Ttypecol5" displayName="Ttypecol5" ref="A15:A21" totalsRowShown="0">
  <autoFilter ref="A15:A21" xr:uid="{08B51B83-19CD-4E7F-94D4-2B63CC810F8A}"/>
  <tableColumns count="1">
    <tableColumn id="1" xr3:uid="{C700D318-BC85-4A79-B629-E496E168FACF}" name="Type collectivités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551D78B-821B-4D16-9570-31A1E55D44EC}" name="TDépartement" displayName="TDépartement" ref="G1:H6" totalsRowShown="0">
  <autoFilter ref="G1:H6" xr:uid="{8551D78B-821B-4D16-9570-31A1E55D44EC}"/>
  <tableColumns count="2">
    <tableColumn id="1" xr3:uid="{92961481-E493-48EF-B644-CE720DF743C8}" name="Pop Département"/>
    <tableColumn id="2" xr3:uid="{A4B846D5-22E6-4DF2-B499-E0A6ACAB19F5}" name="Taux maxi" dataDxfId="3" dataCellStyle="Pourcentage"/>
  </tableColumns>
  <tableStyleInfo name="TableStyleLight1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C9E1D18-41F4-4C33-B742-6A19930BA522}" name="TCommune" displayName="TCommune" ref="A24:A26" totalsRowShown="0">
  <autoFilter ref="A24:A26" xr:uid="{2C9E1D18-41F4-4C33-B742-6A19930BA522}"/>
  <tableColumns count="1">
    <tableColumn id="1" xr3:uid="{CE27B936-5436-403E-88F9-76BC60F6B6FF}" name="Type commune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hèmeCDG43">
  <a:themeElements>
    <a:clrScheme name="Personnalisé 2">
      <a:dk1>
        <a:srgbClr val="3C2878"/>
      </a:dk1>
      <a:lt1>
        <a:sysClr val="window" lastClr="FFFFFF"/>
      </a:lt1>
      <a:dk2>
        <a:srgbClr val="E84130"/>
      </a:dk2>
      <a:lt2>
        <a:srgbClr val="7F7E7E"/>
      </a:lt2>
      <a:accent1>
        <a:srgbClr val="F2B92C"/>
      </a:accent1>
      <a:accent2>
        <a:srgbClr val="1EB0AC"/>
      </a:accent2>
      <a:accent3>
        <a:srgbClr val="A2C73A"/>
      </a:accent3>
      <a:accent4>
        <a:srgbClr val="F2B92C"/>
      </a:accent4>
      <a:accent5>
        <a:srgbClr val="3C2878"/>
      </a:accent5>
      <a:accent6>
        <a:srgbClr val="E84130"/>
      </a:accent6>
      <a:hlink>
        <a:srgbClr val="3C2878"/>
      </a:hlink>
      <a:folHlink>
        <a:srgbClr val="E8413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877D8-AB13-4BB2-A930-06EB2F3EDE7B}">
  <dimension ref="A2:AH41"/>
  <sheetViews>
    <sheetView workbookViewId="0">
      <pane xSplit="1" ySplit="4" topLeftCell="B5" activePane="bottomRight" state="frozenSplit"/>
      <selection pane="topRight" activeCell="K1" sqref="K1"/>
      <selection pane="bottomLeft" activeCell="A18" sqref="A18"/>
      <selection pane="bottomRight" activeCell="H35" sqref="H35"/>
    </sheetView>
  </sheetViews>
  <sheetFormatPr baseColWidth="10" defaultColWidth="11.5703125" defaultRowHeight="12.75"/>
  <cols>
    <col min="1" max="1" width="26.7109375" style="3" bestFit="1" customWidth="1"/>
    <col min="2" max="18" width="13.5703125" style="3" customWidth="1"/>
    <col min="19" max="16384" width="11.5703125" style="3"/>
  </cols>
  <sheetData>
    <row r="2" spans="1:34" s="2" customFormat="1" ht="31.15" customHeight="1">
      <c r="B2" s="62" t="s">
        <v>44</v>
      </c>
      <c r="C2" s="62"/>
      <c r="D2" s="62"/>
      <c r="E2" s="62"/>
      <c r="F2" s="62" t="s">
        <v>43</v>
      </c>
      <c r="G2" s="62"/>
      <c r="H2" s="62"/>
      <c r="I2" s="62"/>
      <c r="J2" s="62" t="s">
        <v>66</v>
      </c>
      <c r="K2" s="62"/>
      <c r="L2" s="62"/>
      <c r="M2" s="62"/>
      <c r="N2" s="62" t="s">
        <v>76</v>
      </c>
      <c r="O2" s="62"/>
      <c r="P2" s="62"/>
      <c r="Q2" s="62"/>
      <c r="R2" s="62" t="s">
        <v>79</v>
      </c>
      <c r="S2" s="62"/>
      <c r="T2" s="62"/>
      <c r="U2" s="62"/>
      <c r="V2" s="63" t="s">
        <v>84</v>
      </c>
      <c r="W2" s="64"/>
      <c r="X2" s="64"/>
      <c r="Y2" s="64"/>
      <c r="Z2" s="64"/>
      <c r="AA2" s="65"/>
      <c r="AB2" s="62" t="s">
        <v>85</v>
      </c>
      <c r="AC2" s="62"/>
      <c r="AD2" s="62"/>
      <c r="AE2" s="62"/>
    </row>
    <row r="3" spans="1:34" s="2" customFormat="1" ht="51">
      <c r="A3" s="5" t="s">
        <v>0</v>
      </c>
      <c r="B3" s="5" t="s">
        <v>8</v>
      </c>
      <c r="C3" s="5" t="s">
        <v>9</v>
      </c>
      <c r="D3" s="5" t="s">
        <v>10</v>
      </c>
      <c r="E3" s="5" t="s">
        <v>22</v>
      </c>
      <c r="F3" s="5" t="s">
        <v>45</v>
      </c>
      <c r="G3" s="5" t="s">
        <v>46</v>
      </c>
      <c r="H3" s="5" t="s">
        <v>47</v>
      </c>
      <c r="I3" s="5" t="s">
        <v>48</v>
      </c>
      <c r="J3" s="5" t="s">
        <v>45</v>
      </c>
      <c r="K3" s="5" t="s">
        <v>46</v>
      </c>
      <c r="L3" s="5" t="s">
        <v>47</v>
      </c>
      <c r="M3" s="5" t="s">
        <v>48</v>
      </c>
      <c r="N3" s="5" t="s">
        <v>45</v>
      </c>
      <c r="O3" s="5" t="s">
        <v>46</v>
      </c>
      <c r="P3" s="5" t="s">
        <v>47</v>
      </c>
      <c r="Q3" s="5" t="s">
        <v>48</v>
      </c>
      <c r="R3" s="5" t="s">
        <v>45</v>
      </c>
      <c r="S3" s="5" t="s">
        <v>46</v>
      </c>
      <c r="T3" s="5" t="s">
        <v>47</v>
      </c>
      <c r="U3" s="5" t="s">
        <v>48</v>
      </c>
      <c r="V3" s="5" t="s">
        <v>86</v>
      </c>
      <c r="W3" s="5" t="s">
        <v>46</v>
      </c>
      <c r="X3" s="5" t="s">
        <v>47</v>
      </c>
      <c r="Y3" s="5" t="s">
        <v>48</v>
      </c>
      <c r="Z3" s="5" t="s">
        <v>89</v>
      </c>
      <c r="AA3" s="5" t="s">
        <v>90</v>
      </c>
      <c r="AB3" s="5" t="s">
        <v>87</v>
      </c>
      <c r="AC3" s="5" t="s">
        <v>46</v>
      </c>
      <c r="AD3" s="5" t="s">
        <v>47</v>
      </c>
      <c r="AE3" s="5" t="s">
        <v>48</v>
      </c>
      <c r="AH3" s="5" t="s">
        <v>81</v>
      </c>
    </row>
    <row r="4" spans="1:34" s="10" customFormat="1" ht="10.5">
      <c r="A4" s="8"/>
      <c r="B4" s="8" t="s">
        <v>60</v>
      </c>
      <c r="C4" s="8" t="s">
        <v>58</v>
      </c>
      <c r="D4" s="8" t="s">
        <v>59</v>
      </c>
      <c r="E4" s="8" t="s">
        <v>61</v>
      </c>
      <c r="F4" s="9" t="s">
        <v>50</v>
      </c>
      <c r="G4" s="9" t="s">
        <v>49</v>
      </c>
      <c r="H4" s="9" t="s">
        <v>62</v>
      </c>
      <c r="I4" s="9"/>
      <c r="J4" s="9" t="s">
        <v>50</v>
      </c>
      <c r="K4" s="9" t="s">
        <v>49</v>
      </c>
      <c r="L4" s="9" t="s">
        <v>71</v>
      </c>
      <c r="M4" s="9"/>
      <c r="N4" s="9" t="s">
        <v>63</v>
      </c>
      <c r="O4" s="9" t="s">
        <v>64</v>
      </c>
      <c r="P4" s="9" t="s">
        <v>65</v>
      </c>
      <c r="Q4" s="9"/>
      <c r="R4" s="9" t="s">
        <v>63</v>
      </c>
      <c r="S4" s="9" t="s">
        <v>64</v>
      </c>
      <c r="T4" s="9" t="s">
        <v>65</v>
      </c>
      <c r="U4" s="9"/>
      <c r="V4" s="9" t="s">
        <v>63</v>
      </c>
      <c r="W4" s="9" t="s">
        <v>64</v>
      </c>
      <c r="X4" s="9" t="s">
        <v>88</v>
      </c>
      <c r="Y4" s="9"/>
      <c r="Z4" s="9"/>
      <c r="AA4" s="9"/>
      <c r="AB4" s="9" t="s">
        <v>63</v>
      </c>
      <c r="AC4" s="9" t="s">
        <v>64</v>
      </c>
      <c r="AD4" s="9" t="s">
        <v>65</v>
      </c>
      <c r="AE4" s="9"/>
      <c r="AH4" s="8" t="s">
        <v>59</v>
      </c>
    </row>
    <row r="5" spans="1:34">
      <c r="A5" s="4" t="s">
        <v>1</v>
      </c>
      <c r="B5" s="1">
        <v>7</v>
      </c>
      <c r="C5" s="1">
        <f>TRUNC(B5*30%)</f>
        <v>2</v>
      </c>
      <c r="D5" s="4">
        <v>28.1</v>
      </c>
      <c r="E5" s="4">
        <v>10.89</v>
      </c>
      <c r="F5" s="3">
        <v>16</v>
      </c>
      <c r="G5" s="3">
        <f>IF(F5*20%&lt;=15,ROUNDUP(F5*20%,0),15)</f>
        <v>4</v>
      </c>
      <c r="H5" s="3">
        <v>12.75</v>
      </c>
      <c r="I5" s="3">
        <v>4.95</v>
      </c>
      <c r="K5" s="3" t="s">
        <v>80</v>
      </c>
      <c r="O5" s="3" t="s">
        <v>80</v>
      </c>
      <c r="X5" s="3" t="s">
        <v>80</v>
      </c>
      <c r="AH5" s="4">
        <v>25.5</v>
      </c>
    </row>
    <row r="6" spans="1:34">
      <c r="A6" s="4" t="s">
        <v>2</v>
      </c>
      <c r="B6" s="1">
        <v>11</v>
      </c>
      <c r="C6" s="1">
        <f t="shared" ref="C6:C26" si="0">TRUNC(B6*30%)</f>
        <v>3</v>
      </c>
      <c r="D6" s="4">
        <v>28.1</v>
      </c>
      <c r="E6" s="4">
        <v>10.89</v>
      </c>
      <c r="F6" s="3">
        <v>16</v>
      </c>
      <c r="G6" s="3">
        <f t="shared" ref="G6:G26" si="1">IF(F6*20%&lt;=15,ROUNDUP(F6*20%,0),15)</f>
        <v>4</v>
      </c>
      <c r="H6" s="3">
        <v>12.75</v>
      </c>
      <c r="I6" s="3">
        <v>4.95</v>
      </c>
      <c r="K6" s="3" t="s">
        <v>80</v>
      </c>
      <c r="P6" s="3">
        <v>4.7300000000000004</v>
      </c>
      <c r="Q6" s="3">
        <v>1.89</v>
      </c>
      <c r="X6" s="3" t="s">
        <v>80</v>
      </c>
      <c r="AH6" s="4">
        <v>25.5</v>
      </c>
    </row>
    <row r="7" spans="1:34">
      <c r="A7" s="4" t="s">
        <v>12</v>
      </c>
      <c r="B7" s="1">
        <v>15</v>
      </c>
      <c r="C7" s="1">
        <f t="shared" si="0"/>
        <v>4</v>
      </c>
      <c r="D7" s="4">
        <v>44.3</v>
      </c>
      <c r="E7" s="4">
        <v>11.77</v>
      </c>
      <c r="F7" s="3">
        <v>16</v>
      </c>
      <c r="G7" s="3">
        <f t="shared" si="1"/>
        <v>4</v>
      </c>
      <c r="H7" s="3">
        <v>23.25</v>
      </c>
      <c r="I7" s="3">
        <v>6.19</v>
      </c>
      <c r="K7" s="3" t="s">
        <v>80</v>
      </c>
      <c r="P7" s="3">
        <v>6.69</v>
      </c>
      <c r="Q7" s="3">
        <v>2.68</v>
      </c>
      <c r="X7" s="3" t="s">
        <v>80</v>
      </c>
      <c r="AH7" s="4">
        <v>40.299999999999997</v>
      </c>
    </row>
    <row r="8" spans="1:34">
      <c r="A8" s="4" t="s">
        <v>11</v>
      </c>
      <c r="B8" s="1">
        <v>15</v>
      </c>
      <c r="C8" s="1">
        <f t="shared" si="0"/>
        <v>4</v>
      </c>
      <c r="D8" s="4">
        <v>55.7</v>
      </c>
      <c r="E8" s="4">
        <v>21.38</v>
      </c>
      <c r="F8" s="3">
        <v>16</v>
      </c>
      <c r="G8" s="3">
        <f t="shared" si="1"/>
        <v>4</v>
      </c>
      <c r="H8" s="3">
        <v>32.25</v>
      </c>
      <c r="I8" s="3">
        <v>12.37</v>
      </c>
      <c r="K8" s="3" t="s">
        <v>80</v>
      </c>
      <c r="P8" s="3">
        <v>12.2</v>
      </c>
      <c r="Q8" s="3">
        <v>4.6500000000000004</v>
      </c>
      <c r="X8" s="3" t="s">
        <v>80</v>
      </c>
      <c r="AH8" s="4">
        <v>51.6</v>
      </c>
    </row>
    <row r="9" spans="1:34">
      <c r="A9" s="4" t="s">
        <v>3</v>
      </c>
      <c r="B9" s="1">
        <v>19</v>
      </c>
      <c r="C9" s="1">
        <f t="shared" si="0"/>
        <v>5</v>
      </c>
      <c r="D9" s="4">
        <v>55.7</v>
      </c>
      <c r="E9" s="4">
        <v>21.38</v>
      </c>
      <c r="F9" s="3">
        <v>16</v>
      </c>
      <c r="G9" s="3">
        <f t="shared" si="1"/>
        <v>4</v>
      </c>
      <c r="H9" s="3">
        <v>32.25</v>
      </c>
      <c r="I9" s="3">
        <v>12.37</v>
      </c>
      <c r="K9" s="3" t="s">
        <v>80</v>
      </c>
      <c r="P9" s="3">
        <v>12.2</v>
      </c>
      <c r="Q9" s="3">
        <v>4.6500000000000004</v>
      </c>
      <c r="X9" s="3" t="s">
        <v>80</v>
      </c>
      <c r="AH9" s="4">
        <v>51.6</v>
      </c>
    </row>
    <row r="10" spans="1:34">
      <c r="A10" s="4" t="s">
        <v>4</v>
      </c>
      <c r="B10" s="1">
        <v>23</v>
      </c>
      <c r="C10" s="1">
        <f t="shared" si="0"/>
        <v>6</v>
      </c>
      <c r="D10" s="4">
        <v>55.7</v>
      </c>
      <c r="E10" s="4">
        <v>21.38</v>
      </c>
      <c r="F10" s="3">
        <v>16</v>
      </c>
      <c r="G10" s="3">
        <f t="shared" si="1"/>
        <v>4</v>
      </c>
      <c r="H10" s="3">
        <v>32.25</v>
      </c>
      <c r="I10" s="3">
        <v>12.37</v>
      </c>
      <c r="K10" s="3" t="s">
        <v>80</v>
      </c>
      <c r="P10" s="3">
        <v>12.2</v>
      </c>
      <c r="Q10" s="3">
        <v>4.6500000000000004</v>
      </c>
      <c r="X10" s="3" t="s">
        <v>80</v>
      </c>
      <c r="AH10" s="4">
        <v>51.6</v>
      </c>
    </row>
    <row r="11" spans="1:34">
      <c r="A11" s="4" t="s">
        <v>5</v>
      </c>
      <c r="B11" s="1">
        <v>27</v>
      </c>
      <c r="C11" s="1">
        <f t="shared" si="0"/>
        <v>8</v>
      </c>
      <c r="D11" s="4">
        <v>58.3</v>
      </c>
      <c r="E11" s="4">
        <v>23.32</v>
      </c>
      <c r="F11" s="3">
        <v>18</v>
      </c>
      <c r="G11" s="3">
        <f t="shared" si="1"/>
        <v>4</v>
      </c>
      <c r="H11" s="3">
        <v>41.25</v>
      </c>
      <c r="I11" s="3">
        <v>16.5</v>
      </c>
      <c r="K11" s="3" t="s">
        <v>80</v>
      </c>
      <c r="P11" s="3">
        <v>16.93</v>
      </c>
      <c r="Q11" s="3">
        <v>6.77</v>
      </c>
      <c r="X11" s="3" t="s">
        <v>80</v>
      </c>
      <c r="AH11" s="4">
        <v>55</v>
      </c>
    </row>
    <row r="12" spans="1:34">
      <c r="A12" s="4" t="s">
        <v>6</v>
      </c>
      <c r="B12" s="1">
        <v>29</v>
      </c>
      <c r="C12" s="1">
        <f t="shared" si="0"/>
        <v>8</v>
      </c>
      <c r="D12" s="4">
        <v>58.3</v>
      </c>
      <c r="E12" s="4">
        <v>23.32</v>
      </c>
      <c r="F12" s="3">
        <v>22</v>
      </c>
      <c r="G12" s="3">
        <f t="shared" si="1"/>
        <v>5</v>
      </c>
      <c r="H12" s="3">
        <v>41.25</v>
      </c>
      <c r="I12" s="3">
        <v>16.5</v>
      </c>
      <c r="K12" s="3" t="s">
        <v>80</v>
      </c>
      <c r="P12" s="3">
        <v>16.93</v>
      </c>
      <c r="Q12" s="3">
        <v>6.77</v>
      </c>
      <c r="X12" s="3" t="s">
        <v>80</v>
      </c>
      <c r="AH12" s="4">
        <v>55</v>
      </c>
    </row>
    <row r="13" spans="1:34">
      <c r="A13" s="4" t="s">
        <v>7</v>
      </c>
      <c r="B13" s="1">
        <v>33</v>
      </c>
      <c r="C13" s="1">
        <f t="shared" si="0"/>
        <v>9</v>
      </c>
      <c r="D13" s="4">
        <v>67.599999999999994</v>
      </c>
      <c r="E13" s="4">
        <v>28.6</v>
      </c>
      <c r="F13" s="3">
        <v>26</v>
      </c>
      <c r="G13" s="3">
        <f t="shared" si="1"/>
        <v>6</v>
      </c>
      <c r="H13" s="3">
        <v>48.75</v>
      </c>
      <c r="I13" s="3">
        <v>20.63</v>
      </c>
      <c r="K13" s="3" t="s">
        <v>80</v>
      </c>
      <c r="P13" s="3">
        <v>21.66</v>
      </c>
      <c r="Q13" s="3">
        <v>8.66</v>
      </c>
      <c r="X13" s="3" t="s">
        <v>80</v>
      </c>
      <c r="AH13" s="4">
        <v>65</v>
      </c>
    </row>
    <row r="14" spans="1:34">
      <c r="A14" s="4" t="s">
        <v>13</v>
      </c>
      <c r="B14" s="1">
        <v>35</v>
      </c>
      <c r="C14" s="1">
        <f t="shared" si="0"/>
        <v>10</v>
      </c>
      <c r="D14" s="4">
        <v>90</v>
      </c>
      <c r="E14" s="4">
        <v>33</v>
      </c>
      <c r="F14" s="3">
        <v>30</v>
      </c>
      <c r="G14" s="3">
        <f t="shared" si="1"/>
        <v>6</v>
      </c>
      <c r="H14" s="3">
        <v>67.5</v>
      </c>
      <c r="I14" s="3">
        <v>24.73</v>
      </c>
      <c r="J14" s="3">
        <v>30</v>
      </c>
      <c r="K14" s="3">
        <f t="shared" ref="K14:K26" si="2">IF(J14*20%&lt;=15,ROUNDUP(J14*20%,0),15)</f>
        <v>6</v>
      </c>
      <c r="L14" s="3">
        <v>90</v>
      </c>
      <c r="M14" s="3">
        <v>33</v>
      </c>
      <c r="P14" s="3">
        <v>25.59</v>
      </c>
      <c r="Q14" s="3">
        <v>10.24</v>
      </c>
      <c r="X14" s="3" t="s">
        <v>80</v>
      </c>
      <c r="AH14" s="4">
        <v>90</v>
      </c>
    </row>
    <row r="15" spans="1:34">
      <c r="A15" s="4" t="s">
        <v>14</v>
      </c>
      <c r="B15" s="4">
        <v>39</v>
      </c>
      <c r="C15" s="1">
        <f t="shared" si="0"/>
        <v>11</v>
      </c>
      <c r="D15" s="4">
        <v>90</v>
      </c>
      <c r="E15" s="4">
        <v>33</v>
      </c>
      <c r="F15" s="3">
        <v>34</v>
      </c>
      <c r="G15" s="3">
        <f t="shared" si="1"/>
        <v>7</v>
      </c>
      <c r="H15" s="3">
        <v>67.5</v>
      </c>
      <c r="I15" s="3">
        <v>24.73</v>
      </c>
      <c r="J15" s="3">
        <v>34</v>
      </c>
      <c r="K15" s="3">
        <f t="shared" si="2"/>
        <v>7</v>
      </c>
      <c r="L15" s="3">
        <v>90</v>
      </c>
      <c r="M15" s="3">
        <v>33</v>
      </c>
      <c r="P15" s="3">
        <v>25.59</v>
      </c>
      <c r="Q15" s="3">
        <v>10.24</v>
      </c>
      <c r="X15" s="3" t="s">
        <v>80</v>
      </c>
      <c r="AH15" s="4">
        <v>90</v>
      </c>
    </row>
    <row r="16" spans="1:34">
      <c r="A16" s="4" t="s">
        <v>15</v>
      </c>
      <c r="B16" s="4">
        <v>43</v>
      </c>
      <c r="C16" s="1">
        <f t="shared" si="0"/>
        <v>12</v>
      </c>
      <c r="D16" s="4">
        <v>90</v>
      </c>
      <c r="E16" s="4">
        <v>33</v>
      </c>
      <c r="F16" s="3">
        <v>38</v>
      </c>
      <c r="G16" s="3">
        <f t="shared" si="1"/>
        <v>8</v>
      </c>
      <c r="H16" s="3">
        <v>67.5</v>
      </c>
      <c r="I16" s="3">
        <v>24.73</v>
      </c>
      <c r="J16" s="3">
        <v>38</v>
      </c>
      <c r="K16" s="3">
        <f t="shared" si="2"/>
        <v>8</v>
      </c>
      <c r="L16" s="3">
        <v>90</v>
      </c>
      <c r="M16" s="3">
        <v>33</v>
      </c>
      <c r="P16" s="3">
        <v>25.59</v>
      </c>
      <c r="Q16" s="3">
        <v>10.24</v>
      </c>
      <c r="X16" s="3" t="s">
        <v>80</v>
      </c>
      <c r="AH16" s="4">
        <v>90</v>
      </c>
    </row>
    <row r="17" spans="1:34">
      <c r="A17" s="4" t="s">
        <v>16</v>
      </c>
      <c r="B17" s="4">
        <v>45</v>
      </c>
      <c r="C17" s="1">
        <f t="shared" si="0"/>
        <v>13</v>
      </c>
      <c r="D17" s="4">
        <v>110</v>
      </c>
      <c r="E17" s="4">
        <v>44</v>
      </c>
      <c r="F17" s="3">
        <v>40</v>
      </c>
      <c r="G17" s="3">
        <f t="shared" si="1"/>
        <v>8</v>
      </c>
      <c r="H17" s="3">
        <v>82.49</v>
      </c>
      <c r="I17" s="3">
        <v>33</v>
      </c>
      <c r="J17" s="3">
        <v>40</v>
      </c>
      <c r="K17" s="3">
        <f t="shared" si="2"/>
        <v>8</v>
      </c>
      <c r="L17" s="3">
        <v>110</v>
      </c>
      <c r="M17" s="3">
        <v>44</v>
      </c>
      <c r="P17" s="3">
        <v>29.53</v>
      </c>
      <c r="Q17" s="3">
        <v>11.81</v>
      </c>
      <c r="X17" s="3" t="s">
        <v>80</v>
      </c>
      <c r="AH17" s="4">
        <v>110</v>
      </c>
    </row>
    <row r="18" spans="1:34">
      <c r="A18" s="4" t="s">
        <v>51</v>
      </c>
      <c r="B18" s="4">
        <v>49</v>
      </c>
      <c r="C18" s="1">
        <f t="shared" si="0"/>
        <v>14</v>
      </c>
      <c r="D18" s="4">
        <v>110</v>
      </c>
      <c r="E18" s="4">
        <v>44</v>
      </c>
      <c r="F18" s="3">
        <v>40</v>
      </c>
      <c r="G18" s="3">
        <f t="shared" si="1"/>
        <v>8</v>
      </c>
      <c r="H18" s="3">
        <v>82.39</v>
      </c>
      <c r="I18" s="3">
        <v>33</v>
      </c>
      <c r="J18" s="3">
        <v>40</v>
      </c>
      <c r="K18" s="3">
        <f t="shared" si="2"/>
        <v>8</v>
      </c>
      <c r="L18" s="3">
        <v>110</v>
      </c>
      <c r="M18" s="3">
        <v>44</v>
      </c>
      <c r="P18" s="3">
        <v>29.53</v>
      </c>
      <c r="Q18" s="3">
        <v>11.81</v>
      </c>
      <c r="X18" s="3" t="s">
        <v>80</v>
      </c>
      <c r="AH18" s="4">
        <v>110</v>
      </c>
    </row>
    <row r="19" spans="1:34">
      <c r="A19" s="4" t="s">
        <v>52</v>
      </c>
      <c r="B19" s="4">
        <v>49</v>
      </c>
      <c r="C19" s="1">
        <f t="shared" si="0"/>
        <v>14</v>
      </c>
      <c r="D19" s="4">
        <v>110</v>
      </c>
      <c r="E19" s="4">
        <v>44</v>
      </c>
      <c r="F19" s="3">
        <v>42</v>
      </c>
      <c r="G19" s="3">
        <f t="shared" si="1"/>
        <v>9</v>
      </c>
      <c r="H19" s="3">
        <v>82.39</v>
      </c>
      <c r="I19" s="3">
        <v>33</v>
      </c>
      <c r="J19" s="3">
        <v>42</v>
      </c>
      <c r="K19" s="3">
        <f t="shared" si="2"/>
        <v>9</v>
      </c>
      <c r="L19" s="3">
        <v>110</v>
      </c>
      <c r="M19" s="3">
        <v>44</v>
      </c>
      <c r="P19" s="3">
        <v>29.53</v>
      </c>
      <c r="Q19" s="3">
        <v>11.81</v>
      </c>
      <c r="X19" s="3" t="s">
        <v>80</v>
      </c>
      <c r="AH19" s="4">
        <v>110</v>
      </c>
    </row>
    <row r="20" spans="1:34">
      <c r="A20" s="4" t="s">
        <v>17</v>
      </c>
      <c r="B20" s="4">
        <v>53</v>
      </c>
      <c r="C20" s="1">
        <f t="shared" si="0"/>
        <v>15</v>
      </c>
      <c r="D20" s="4">
        <v>110</v>
      </c>
      <c r="E20" s="4">
        <v>44</v>
      </c>
      <c r="F20" s="3">
        <v>42</v>
      </c>
      <c r="G20" s="3">
        <f t="shared" si="1"/>
        <v>9</v>
      </c>
      <c r="H20" s="3">
        <v>82.49</v>
      </c>
      <c r="I20" s="3">
        <v>33</v>
      </c>
      <c r="J20" s="3">
        <v>42</v>
      </c>
      <c r="K20" s="3">
        <f t="shared" si="2"/>
        <v>9</v>
      </c>
      <c r="L20" s="3">
        <v>110</v>
      </c>
      <c r="M20" s="3">
        <v>44</v>
      </c>
      <c r="P20" s="3">
        <v>29.53</v>
      </c>
      <c r="Q20" s="3">
        <v>11.81</v>
      </c>
      <c r="X20" s="3" t="s">
        <v>80</v>
      </c>
      <c r="AH20" s="4">
        <v>110</v>
      </c>
    </row>
    <row r="21" spans="1:34">
      <c r="A21" s="4" t="s">
        <v>18</v>
      </c>
      <c r="B21" s="4">
        <v>55</v>
      </c>
      <c r="C21" s="1">
        <f t="shared" si="0"/>
        <v>16</v>
      </c>
      <c r="D21" s="4">
        <v>145</v>
      </c>
      <c r="E21" s="4">
        <v>66</v>
      </c>
      <c r="F21" s="3">
        <v>48</v>
      </c>
      <c r="G21" s="3">
        <f t="shared" si="1"/>
        <v>10</v>
      </c>
      <c r="H21" s="3">
        <v>108.75</v>
      </c>
      <c r="I21" s="3">
        <v>49.5</v>
      </c>
      <c r="J21" s="3">
        <v>48</v>
      </c>
      <c r="K21" s="3">
        <f t="shared" si="2"/>
        <v>10</v>
      </c>
      <c r="L21" s="3">
        <v>145</v>
      </c>
      <c r="M21" s="3">
        <v>66</v>
      </c>
      <c r="P21" s="3">
        <v>35.44</v>
      </c>
      <c r="Q21" s="3">
        <v>17.72</v>
      </c>
      <c r="X21" s="3" t="s">
        <v>80</v>
      </c>
      <c r="AH21" s="4">
        <v>145</v>
      </c>
    </row>
    <row r="22" spans="1:34">
      <c r="A22" s="4" t="s">
        <v>19</v>
      </c>
      <c r="B22" s="4">
        <v>59</v>
      </c>
      <c r="C22" s="1">
        <f t="shared" si="0"/>
        <v>17</v>
      </c>
      <c r="D22" s="4">
        <v>145</v>
      </c>
      <c r="E22" s="4">
        <v>66</v>
      </c>
      <c r="F22" s="3">
        <v>56</v>
      </c>
      <c r="G22" s="3">
        <f t="shared" si="1"/>
        <v>12</v>
      </c>
      <c r="H22" s="3">
        <v>108.75</v>
      </c>
      <c r="I22" s="3">
        <v>49.5</v>
      </c>
      <c r="J22" s="3">
        <v>56</v>
      </c>
      <c r="K22" s="3">
        <f t="shared" si="2"/>
        <v>12</v>
      </c>
      <c r="L22" s="3">
        <v>145</v>
      </c>
      <c r="M22" s="3">
        <v>66</v>
      </c>
      <c r="P22" s="3">
        <v>35.44</v>
      </c>
      <c r="Q22" s="3">
        <v>17.72</v>
      </c>
      <c r="X22" s="3">
        <v>45</v>
      </c>
      <c r="AA22" s="3">
        <v>40</v>
      </c>
      <c r="AH22" s="4">
        <v>145</v>
      </c>
    </row>
    <row r="23" spans="1:34">
      <c r="A23" s="4" t="s">
        <v>20</v>
      </c>
      <c r="B23" s="4">
        <v>61</v>
      </c>
      <c r="C23" s="1">
        <f t="shared" si="0"/>
        <v>18</v>
      </c>
      <c r="D23" s="4">
        <v>145</v>
      </c>
      <c r="E23" s="4">
        <v>72.5</v>
      </c>
      <c r="F23" s="3">
        <v>64</v>
      </c>
      <c r="G23" s="3">
        <f t="shared" si="1"/>
        <v>13</v>
      </c>
      <c r="H23" s="3">
        <v>108.75</v>
      </c>
      <c r="I23" s="3">
        <v>54.37</v>
      </c>
      <c r="J23" s="3">
        <v>64</v>
      </c>
      <c r="K23" s="3">
        <f t="shared" si="2"/>
        <v>13</v>
      </c>
      <c r="L23" s="3">
        <v>145</v>
      </c>
      <c r="M23" s="3">
        <v>72.5</v>
      </c>
      <c r="P23" s="3">
        <v>37.409999999999997</v>
      </c>
      <c r="Q23" s="3">
        <v>18.7</v>
      </c>
      <c r="X23" s="3">
        <v>45</v>
      </c>
      <c r="AA23" s="3">
        <v>40</v>
      </c>
      <c r="AH23" s="4">
        <v>145</v>
      </c>
    </row>
    <row r="24" spans="1:34">
      <c r="A24" s="4" t="s">
        <v>21</v>
      </c>
      <c r="B24" s="4">
        <v>65</v>
      </c>
      <c r="C24" s="1">
        <f t="shared" si="0"/>
        <v>19</v>
      </c>
      <c r="D24" s="4">
        <v>145</v>
      </c>
      <c r="E24" s="4">
        <v>72.5</v>
      </c>
      <c r="F24" s="3">
        <v>72</v>
      </c>
      <c r="G24" s="3">
        <f t="shared" si="1"/>
        <v>15</v>
      </c>
      <c r="H24" s="3">
        <v>108.75</v>
      </c>
      <c r="I24" s="3">
        <v>54.37</v>
      </c>
      <c r="J24" s="3">
        <v>72</v>
      </c>
      <c r="K24" s="3">
        <f t="shared" si="2"/>
        <v>15</v>
      </c>
      <c r="L24" s="3">
        <v>145</v>
      </c>
      <c r="M24" s="3">
        <v>72.5</v>
      </c>
      <c r="P24" s="3">
        <v>37.409999999999997</v>
      </c>
      <c r="Q24" s="3">
        <v>18.7</v>
      </c>
      <c r="X24" s="3">
        <v>45</v>
      </c>
      <c r="AA24" s="3">
        <v>50</v>
      </c>
      <c r="AH24" s="4">
        <v>145</v>
      </c>
    </row>
    <row r="25" spans="1:34">
      <c r="A25" s="4" t="s">
        <v>53</v>
      </c>
      <c r="B25" s="4">
        <v>69</v>
      </c>
      <c r="C25" s="1">
        <f t="shared" si="0"/>
        <v>20</v>
      </c>
      <c r="D25" s="4">
        <v>145</v>
      </c>
      <c r="E25" s="4">
        <v>72.5</v>
      </c>
      <c r="F25" s="3">
        <v>72</v>
      </c>
      <c r="G25" s="3">
        <f t="shared" si="1"/>
        <v>15</v>
      </c>
      <c r="H25" s="3">
        <v>108.75</v>
      </c>
      <c r="I25" s="3">
        <v>54.37</v>
      </c>
      <c r="J25" s="3">
        <v>72</v>
      </c>
      <c r="K25" s="3">
        <f t="shared" si="2"/>
        <v>15</v>
      </c>
      <c r="L25" s="3">
        <v>145</v>
      </c>
      <c r="M25" s="3">
        <v>72.5</v>
      </c>
      <c r="P25" s="3">
        <v>37.409999999999997</v>
      </c>
      <c r="Q25" s="3">
        <v>18.7</v>
      </c>
      <c r="X25" s="3">
        <v>45</v>
      </c>
      <c r="AA25" s="3">
        <v>50</v>
      </c>
      <c r="AH25" s="4">
        <v>145</v>
      </c>
    </row>
    <row r="26" spans="1:34">
      <c r="A26" s="4" t="s">
        <v>54</v>
      </c>
      <c r="B26" s="4">
        <v>69</v>
      </c>
      <c r="C26" s="1">
        <f t="shared" si="0"/>
        <v>20</v>
      </c>
      <c r="D26" s="4">
        <v>145</v>
      </c>
      <c r="E26" s="4">
        <v>72.5</v>
      </c>
      <c r="F26" s="3">
        <v>80</v>
      </c>
      <c r="G26" s="3">
        <f t="shared" si="1"/>
        <v>15</v>
      </c>
      <c r="H26" s="3">
        <v>108.75</v>
      </c>
      <c r="I26" s="3">
        <v>54.37</v>
      </c>
      <c r="J26" s="3">
        <v>80</v>
      </c>
      <c r="K26" s="3">
        <f t="shared" si="2"/>
        <v>15</v>
      </c>
      <c r="L26" s="3">
        <v>145</v>
      </c>
      <c r="M26" s="3">
        <v>72.5</v>
      </c>
      <c r="P26" s="3">
        <v>37.409999999999997</v>
      </c>
      <c r="Q26" s="3">
        <v>18.7</v>
      </c>
      <c r="X26" s="3">
        <v>45</v>
      </c>
      <c r="AA26" s="3">
        <v>50</v>
      </c>
      <c r="AH26" s="4">
        <v>145</v>
      </c>
    </row>
    <row r="30" spans="1:34" ht="13.5" thickBot="1">
      <c r="A30" s="3" t="s">
        <v>43</v>
      </c>
    </row>
    <row r="31" spans="1:34" ht="13.5" thickBot="1">
      <c r="A31" s="66" t="s">
        <v>30</v>
      </c>
      <c r="B31" s="68" t="s">
        <v>31</v>
      </c>
      <c r="C31" s="69"/>
    </row>
    <row r="32" spans="1:34" ht="13.5" thickBot="1">
      <c r="A32" s="67"/>
      <c r="B32" s="6" t="s">
        <v>32</v>
      </c>
      <c r="C32" s="6" t="s">
        <v>33</v>
      </c>
    </row>
    <row r="33" spans="1:3" ht="13.5" thickBot="1">
      <c r="A33" s="7" t="s">
        <v>34</v>
      </c>
      <c r="B33" s="6">
        <v>12.75</v>
      </c>
      <c r="C33" s="6">
        <v>4.95</v>
      </c>
    </row>
    <row r="34" spans="1:3" ht="13.5" thickBot="1">
      <c r="A34" s="7" t="s">
        <v>35</v>
      </c>
      <c r="B34" s="6">
        <v>23.25</v>
      </c>
      <c r="C34" s="6">
        <v>6.19</v>
      </c>
    </row>
    <row r="35" spans="1:3" ht="13.5" thickBot="1">
      <c r="A35" s="7" t="s">
        <v>36</v>
      </c>
      <c r="B35" s="6">
        <v>32.25</v>
      </c>
      <c r="C35" s="6">
        <v>12.37</v>
      </c>
    </row>
    <row r="36" spans="1:3" ht="13.5" thickBot="1">
      <c r="A36" s="7" t="s">
        <v>37</v>
      </c>
      <c r="B36" s="6">
        <v>41.25</v>
      </c>
      <c r="C36" s="6">
        <v>16.5</v>
      </c>
    </row>
    <row r="37" spans="1:3" ht="13.5" thickBot="1">
      <c r="A37" s="7" t="s">
        <v>38</v>
      </c>
      <c r="B37" s="6">
        <v>48.75</v>
      </c>
      <c r="C37" s="6">
        <v>20.63</v>
      </c>
    </row>
    <row r="38" spans="1:3" ht="13.5" thickBot="1">
      <c r="A38" s="7" t="s">
        <v>39</v>
      </c>
      <c r="B38" s="6">
        <v>67.5</v>
      </c>
      <c r="C38" s="6">
        <v>24.73</v>
      </c>
    </row>
    <row r="39" spans="1:3" ht="13.5" thickBot="1">
      <c r="A39" s="7" t="s">
        <v>40</v>
      </c>
      <c r="B39" s="6">
        <v>82.49</v>
      </c>
      <c r="C39" s="6">
        <v>33</v>
      </c>
    </row>
    <row r="40" spans="1:3" ht="13.5" thickBot="1">
      <c r="A40" s="7" t="s">
        <v>41</v>
      </c>
      <c r="B40" s="6">
        <v>108.75</v>
      </c>
      <c r="C40" s="6">
        <v>49.5</v>
      </c>
    </row>
    <row r="41" spans="1:3" ht="13.5" thickBot="1">
      <c r="A41" s="7" t="s">
        <v>42</v>
      </c>
      <c r="B41" s="6">
        <v>108.75</v>
      </c>
      <c r="C41" s="6">
        <v>54.37</v>
      </c>
    </row>
  </sheetData>
  <sheetProtection algorithmName="SHA-512" hashValue="h08DQn9wWxRBV86y1dm0olYHUCVoqGBS/vKqIY3KJMvkoGHhXm5ueyFBGgwj9RrjROkEdOoZANAJWYQcMqvYJg==" saltValue="dFY05ySp+uAnJIGCHQGF7g==" spinCount="100000" sheet="1" objects="1" scenarios="1"/>
  <mergeCells count="9">
    <mergeCell ref="AB2:AE2"/>
    <mergeCell ref="V2:AA2"/>
    <mergeCell ref="R2:U2"/>
    <mergeCell ref="N2:Q2"/>
    <mergeCell ref="A31:A32"/>
    <mergeCell ref="B31:C31"/>
    <mergeCell ref="B2:E2"/>
    <mergeCell ref="F2:I2"/>
    <mergeCell ref="J2:M2"/>
  </mergeCells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68430-437A-46B5-ADD7-92D2C0AA8A17}">
  <dimension ref="A1:H26"/>
  <sheetViews>
    <sheetView workbookViewId="0">
      <selection activeCell="G26" sqref="G26"/>
    </sheetView>
  </sheetViews>
  <sheetFormatPr baseColWidth="10" defaultRowHeight="15"/>
  <cols>
    <col min="1" max="1" width="28.28515625" bestFit="1" customWidth="1"/>
    <col min="3" max="3" width="23.7109375" bestFit="1" customWidth="1"/>
    <col min="5" max="5" width="23.7109375" bestFit="1" customWidth="1"/>
    <col min="7" max="7" width="38.7109375" customWidth="1"/>
  </cols>
  <sheetData>
    <row r="1" spans="1:8">
      <c r="A1" t="s">
        <v>29</v>
      </c>
      <c r="C1" s="11" t="s">
        <v>0</v>
      </c>
      <c r="E1" s="14" t="s">
        <v>72</v>
      </c>
      <c r="G1" t="s">
        <v>93</v>
      </c>
      <c r="H1" t="s">
        <v>98</v>
      </c>
    </row>
    <row r="2" spans="1:8">
      <c r="G2" t="s">
        <v>94</v>
      </c>
      <c r="H2" s="29">
        <v>0.4</v>
      </c>
    </row>
    <row r="3" spans="1:8">
      <c r="A3" t="s">
        <v>24</v>
      </c>
      <c r="C3" s="4" t="s">
        <v>1</v>
      </c>
      <c r="E3" s="4" t="s">
        <v>73</v>
      </c>
      <c r="G3" t="s">
        <v>95</v>
      </c>
      <c r="H3" s="29">
        <v>0.5</v>
      </c>
    </row>
    <row r="4" spans="1:8">
      <c r="A4" t="s">
        <v>25</v>
      </c>
      <c r="C4" s="4" t="s">
        <v>2</v>
      </c>
      <c r="E4" s="4" t="s">
        <v>74</v>
      </c>
      <c r="G4" t="s">
        <v>96</v>
      </c>
      <c r="H4" s="29">
        <v>0.6</v>
      </c>
    </row>
    <row r="5" spans="1:8">
      <c r="A5" t="s">
        <v>26</v>
      </c>
      <c r="C5" s="4" t="s">
        <v>12</v>
      </c>
      <c r="E5" s="4" t="s">
        <v>75</v>
      </c>
      <c r="G5" t="s">
        <v>97</v>
      </c>
      <c r="H5" s="29">
        <v>0.65</v>
      </c>
    </row>
    <row r="6" spans="1:8">
      <c r="A6" t="s">
        <v>77</v>
      </c>
      <c r="C6" s="4" t="s">
        <v>11</v>
      </c>
      <c r="E6" s="4" t="s">
        <v>20</v>
      </c>
      <c r="G6" t="s">
        <v>99</v>
      </c>
      <c r="H6" s="29">
        <v>0.7</v>
      </c>
    </row>
    <row r="7" spans="1:8">
      <c r="A7" t="s">
        <v>78</v>
      </c>
      <c r="C7" s="4" t="s">
        <v>3</v>
      </c>
      <c r="E7" s="4" t="s">
        <v>21</v>
      </c>
    </row>
    <row r="8" spans="1:8">
      <c r="A8" t="s">
        <v>27</v>
      </c>
      <c r="C8" s="4" t="s">
        <v>4</v>
      </c>
      <c r="E8" s="4" t="s">
        <v>53</v>
      </c>
    </row>
    <row r="9" spans="1:8">
      <c r="A9" t="s">
        <v>28</v>
      </c>
      <c r="C9" s="4" t="s">
        <v>5</v>
      </c>
      <c r="E9" s="13" t="s">
        <v>54</v>
      </c>
    </row>
    <row r="10" spans="1:8">
      <c r="C10" s="4" t="s">
        <v>6</v>
      </c>
    </row>
    <row r="11" spans="1:8">
      <c r="C11" s="4" t="s">
        <v>7</v>
      </c>
    </row>
    <row r="12" spans="1:8">
      <c r="C12" s="4" t="s">
        <v>13</v>
      </c>
    </row>
    <row r="13" spans="1:8">
      <c r="C13" s="4" t="s">
        <v>14</v>
      </c>
    </row>
    <row r="14" spans="1:8">
      <c r="C14" s="4" t="s">
        <v>15</v>
      </c>
    </row>
    <row r="15" spans="1:8">
      <c r="A15" t="s">
        <v>29</v>
      </c>
      <c r="C15" s="4" t="s">
        <v>16</v>
      </c>
    </row>
    <row r="16" spans="1:8">
      <c r="C16" s="4" t="s">
        <v>51</v>
      </c>
    </row>
    <row r="17" spans="1:3">
      <c r="A17" t="s">
        <v>24</v>
      </c>
      <c r="C17" s="4" t="s">
        <v>52</v>
      </c>
    </row>
    <row r="18" spans="1:3">
      <c r="A18" t="s">
        <v>25</v>
      </c>
      <c r="C18" s="4" t="s">
        <v>17</v>
      </c>
    </row>
    <row r="19" spans="1:3">
      <c r="A19" t="s">
        <v>26</v>
      </c>
      <c r="C19" s="4" t="s">
        <v>18</v>
      </c>
    </row>
    <row r="20" spans="1:3">
      <c r="A20" t="s">
        <v>27</v>
      </c>
      <c r="C20" s="4" t="s">
        <v>19</v>
      </c>
    </row>
    <row r="21" spans="1:3">
      <c r="A21" t="s">
        <v>28</v>
      </c>
      <c r="C21" s="4" t="s">
        <v>20</v>
      </c>
    </row>
    <row r="22" spans="1:3">
      <c r="C22" s="4" t="s">
        <v>21</v>
      </c>
    </row>
    <row r="23" spans="1:3">
      <c r="C23" s="4" t="s">
        <v>53</v>
      </c>
    </row>
    <row r="24" spans="1:3">
      <c r="A24" t="s">
        <v>101</v>
      </c>
      <c r="C24" s="4" t="s">
        <v>54</v>
      </c>
    </row>
    <row r="26" spans="1:3">
      <c r="A26" t="s">
        <v>24</v>
      </c>
    </row>
  </sheetData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2AD7C-8505-48CF-9B59-2A7E5081B743}">
  <dimension ref="B3:F6"/>
  <sheetViews>
    <sheetView workbookViewId="0">
      <selection activeCell="H12" sqref="H12"/>
    </sheetView>
  </sheetViews>
  <sheetFormatPr baseColWidth="10" defaultRowHeight="15"/>
  <sheetData>
    <row r="3" spans="2:6">
      <c r="B3" s="70" t="s">
        <v>82</v>
      </c>
      <c r="C3" s="70"/>
      <c r="D3" s="70"/>
      <c r="E3" s="70"/>
      <c r="F3" s="12">
        <v>5907.34</v>
      </c>
    </row>
    <row r="4" spans="2:6">
      <c r="B4" s="70" t="s">
        <v>55</v>
      </c>
      <c r="C4" s="70"/>
      <c r="D4" s="70"/>
      <c r="E4" s="70"/>
      <c r="F4" s="4">
        <v>1027</v>
      </c>
    </row>
    <row r="5" spans="2:6">
      <c r="B5" s="70" t="s">
        <v>56</v>
      </c>
      <c r="C5" s="70"/>
      <c r="D5" s="70"/>
      <c r="E5" s="70"/>
      <c r="F5" s="4">
        <v>835</v>
      </c>
    </row>
    <row r="6" spans="2:6">
      <c r="B6" s="70" t="s">
        <v>57</v>
      </c>
      <c r="C6" s="70"/>
      <c r="D6" s="70"/>
      <c r="E6" s="70"/>
      <c r="F6" s="12">
        <f>F3*F5/1200</f>
        <v>4110.5240833333337</v>
      </c>
    </row>
  </sheetData>
  <sheetProtection algorithmName="SHA-512" hashValue="CL1Gf9YAYXxZLpGP/DtpFruU547iAECqYsTepMfAoSUFRE8sC3CzrtJLTThyVRWnkXaELOJJkLtVDy6kipranA==" saltValue="AMP91+ppxjwyPD/nmyLhlg==" spinCount="100000" sheet="1" objects="1" scenarios="1"/>
  <mergeCells count="4">
    <mergeCell ref="B3:E3"/>
    <mergeCell ref="B4:E4"/>
    <mergeCell ref="B5:E5"/>
    <mergeCell ref="B6:E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2DD58-0C28-435B-9EFF-22C76A6E89CC}">
  <dimension ref="A1:K42"/>
  <sheetViews>
    <sheetView showGridLines="0" showRowColHeaders="0" showZeros="0" tabSelected="1" zoomScale="130" zoomScaleNormal="130" workbookViewId="0">
      <selection activeCell="E4" sqref="E4:H4"/>
    </sheetView>
  </sheetViews>
  <sheetFormatPr baseColWidth="10" defaultColWidth="18.7109375" defaultRowHeight="14.25"/>
  <cols>
    <col min="1" max="1" width="7.28515625" style="15" customWidth="1"/>
    <col min="2" max="2" width="14.42578125" style="15" customWidth="1"/>
    <col min="3" max="3" width="9" style="15" customWidth="1"/>
    <col min="4" max="4" width="14.42578125" style="15" customWidth="1"/>
    <col min="5" max="5" width="6.5703125" style="15" customWidth="1"/>
    <col min="6" max="6" width="14.42578125" style="15" customWidth="1"/>
    <col min="7" max="7" width="9" style="15" customWidth="1"/>
    <col min="8" max="8" width="14.7109375" style="15" customWidth="1"/>
    <col min="9" max="9" width="7.28515625" style="15" customWidth="1"/>
    <col min="10" max="10" width="61.7109375" style="30" customWidth="1"/>
    <col min="11" max="11" width="8.42578125" style="30" customWidth="1"/>
    <col min="12" max="17" width="14.7109375" style="15" customWidth="1"/>
    <col min="18" max="24" width="12.42578125" style="15" customWidth="1"/>
    <col min="25" max="16384" width="18.7109375" style="15"/>
  </cols>
  <sheetData>
    <row r="1" spans="2:10" ht="43.9" customHeight="1"/>
    <row r="2" spans="2:10" ht="39" customHeight="1"/>
    <row r="3" spans="2:10" ht="25.15" customHeight="1"/>
    <row r="4" spans="2:10" ht="21" customHeight="1">
      <c r="B4" s="45" t="s">
        <v>70</v>
      </c>
      <c r="C4" s="45"/>
      <c r="D4" s="45"/>
      <c r="E4" s="57"/>
      <c r="F4" s="57"/>
      <c r="G4" s="57"/>
      <c r="H4" s="57"/>
    </row>
    <row r="5" spans="2:10" ht="18.600000000000001" customHeight="1">
      <c r="B5" s="45" t="s">
        <v>23</v>
      </c>
      <c r="C5" s="45"/>
      <c r="D5" s="45"/>
      <c r="E5" s="46"/>
      <c r="F5" s="46"/>
      <c r="G5" s="46"/>
      <c r="H5" s="46"/>
    </row>
    <row r="6" spans="2:10" ht="18.600000000000001" customHeight="1">
      <c r="B6" s="45" t="s">
        <v>83</v>
      </c>
      <c r="C6" s="45"/>
      <c r="D6" s="45"/>
      <c r="E6" s="46"/>
      <c r="F6" s="46"/>
      <c r="G6" s="46"/>
      <c r="H6" s="46"/>
      <c r="J6" s="36" t="str">
        <f>IF(B8="","",_xlfn._LONGTEXT("Dans les communes de moins de 100 habitants, le conseil municipal est réputé complet dès lors qu'il compte au moins 5 membres. 
Dans les communes de 100 à 499 habitants, le conseil municipal est réputé complet dès lors qu'il compte au moins 9 membres. (Ar","tt. L. 2121-2-1 du CGCT)"))</f>
        <v/>
      </c>
    </row>
    <row r="7" spans="2:10" ht="18.600000000000001" customHeight="1">
      <c r="B7" s="45" t="str">
        <f>IF($E$6="","","Nombre maxi de conseillers")</f>
        <v/>
      </c>
      <c r="C7" s="45"/>
      <c r="D7" s="45"/>
      <c r="E7" s="44" t="str">
        <f>IF($E$6="","",VLOOKUP($E$6,Tableau!$A$5:$E$26,2,FALSE))</f>
        <v/>
      </c>
      <c r="F7" s="44"/>
      <c r="G7" s="44"/>
      <c r="H7" s="44"/>
      <c r="J7" s="36"/>
    </row>
    <row r="8" spans="2:10" ht="18.600000000000001" customHeight="1">
      <c r="B8" s="47" t="str">
        <f>IF(OR(E6="Moins de 100 hab",E6="de 100 à 499 hab"),"Nombre réel de conseillers élus","")</f>
        <v/>
      </c>
      <c r="C8" s="48"/>
      <c r="D8" s="49"/>
      <c r="E8" s="54"/>
      <c r="F8" s="55"/>
      <c r="G8" s="55"/>
      <c r="H8" s="56"/>
      <c r="J8" s="36"/>
    </row>
    <row r="9" spans="2:10" ht="18.600000000000001" customHeight="1">
      <c r="B9" s="45" t="str">
        <f>IF($E$5="","","Nombre maxi d'adjoints")</f>
        <v/>
      </c>
      <c r="C9" s="45"/>
      <c r="D9" s="45"/>
      <c r="E9" s="44">
        <f>ROUNDDOWN(MIN(E7,E8)*30%,0)</f>
        <v>0</v>
      </c>
      <c r="F9" s="44"/>
      <c r="G9" s="44"/>
      <c r="H9" s="44"/>
    </row>
    <row r="10" spans="2:10" ht="18.600000000000001" customHeight="1">
      <c r="B10" s="45" t="str">
        <f>IF($E$5="","","Nombre réel d'adjoints")</f>
        <v/>
      </c>
      <c r="C10" s="45"/>
      <c r="D10" s="45"/>
      <c r="E10" s="46"/>
      <c r="F10" s="46"/>
      <c r="G10" s="46"/>
      <c r="H10" s="46"/>
    </row>
    <row r="11" spans="2:10" ht="18.600000000000001" customHeight="1">
      <c r="B11" s="44"/>
      <c r="C11" s="44"/>
      <c r="D11" s="44"/>
      <c r="E11" s="58" t="s">
        <v>102</v>
      </c>
      <c r="F11" s="59"/>
      <c r="G11" s="58" t="s">
        <v>103</v>
      </c>
      <c r="H11" s="59"/>
    </row>
    <row r="12" spans="2:10" ht="18.600000000000001" customHeight="1">
      <c r="B12" s="45" t="str">
        <f>IF($E$5="","",IF($E$5="Commune","Indemnité du Maire","Indemnité du Président"))</f>
        <v/>
      </c>
      <c r="C12" s="45"/>
      <c r="D12" s="45"/>
      <c r="E12" s="60" t="str">
        <f>IFERROR(IF($E$5="","",IF($E$5="Commune",VLOOKUP($E$6,Tableau!$A$5:$E$26,4,FALSE),IF($E$5="Communauté de communes",VLOOKUP($E$6,Tableau!$A$5:$I$26,8,FALSE),IF($E$5="Communauté d'agglomération",VLOOKUP($E$6,Tableau!$A$5:$M$26,12,FALSE),"")))),"")</f>
        <v/>
      </c>
      <c r="F12" s="61"/>
      <c r="G12" s="51" t="str">
        <f>IFERROR(IF($E$5="","",IF($E$5="Commune",VLOOKUP($E$6,Tableau!$A$5:$E$26,4,FALSE),IF($E$5="Communauté de communes",VLOOKUP($E$6,Tableau!$A$5:$I$26,8,FALSE),IF($E$5="Communauté d'agglomération",VLOOKUP($E$6,Tableau!$A$5:$M$26,12,FALSE),""))))*'indice 100'!$F$6/100,"")</f>
        <v/>
      </c>
      <c r="H12" s="53"/>
    </row>
    <row r="13" spans="2:10" ht="18.600000000000001" customHeight="1">
      <c r="B13" s="45" t="str">
        <f>IF($E$5="","",IF($E$5="Commune","Indemnité d'un Adjoint","Indemnité d'un Vice-président"))</f>
        <v/>
      </c>
      <c r="C13" s="45"/>
      <c r="D13" s="45"/>
      <c r="E13" s="60" t="str">
        <f>IFERROR(IF($E$5="","",IF($E$5="Commune",VLOOKUP($E$6,Tableau!$A$5:$E$26,5,FALSE),IF($E$5="Communauté de communes",VLOOKUP($E$6,Tableau!$A$5:$I$26,9,FALSE),IF($E$5="Communauté d'agglomération",VLOOKUP($E$6,Tableau!$A$5:$M$26,13,FALSE),"")))),"")</f>
        <v/>
      </c>
      <c r="F13" s="61"/>
      <c r="G13" s="51" t="str">
        <f>IFERROR(IF($E$5="","",IF($E$5="Commune",VLOOKUP($E$6,Tableau!$A$5:$E$26,5,FALSE),IF($E$5="Communauté de communes",VLOOKUP($E$6,Tableau!$A$5:$I$26,9,FALSE),IF($E$5="Communauté d'agglomération",VLOOKUP($E$6,Tableau!$A$5:$M$26,13,FALSE),""))))*'indice 100'!$F$6/100,"")</f>
        <v/>
      </c>
      <c r="H13" s="53"/>
    </row>
    <row r="14" spans="2:10" ht="18.600000000000001" customHeight="1">
      <c r="B14" s="45" t="str">
        <f>IF($E$5="","","Enveloppe globale mensuelle")</f>
        <v/>
      </c>
      <c r="C14" s="45"/>
      <c r="D14" s="45"/>
      <c r="E14" s="51" t="str">
        <f>IFERROR(IF($E$6="","",$G$12+($E$9*$G$13)),"")</f>
        <v/>
      </c>
      <c r="F14" s="52"/>
      <c r="G14" s="52"/>
      <c r="H14" s="53"/>
    </row>
    <row r="15" spans="2:10" ht="18.600000000000001" customHeight="1">
      <c r="B15" s="45" t="str">
        <f>IF($E$5="","","Enveloppe globale annuelle")</f>
        <v/>
      </c>
      <c r="C15" s="45"/>
      <c r="D15" s="45"/>
      <c r="E15" s="51" t="str">
        <f>IFERROR(E14*12,"")</f>
        <v/>
      </c>
      <c r="F15" s="52"/>
      <c r="G15" s="52"/>
      <c r="H15" s="53"/>
    </row>
    <row r="17" spans="1:8" ht="17.25">
      <c r="B17" s="37" t="s">
        <v>67</v>
      </c>
      <c r="C17" s="37"/>
      <c r="D17" s="37"/>
      <c r="E17" s="37"/>
      <c r="F17" s="37"/>
      <c r="G17" s="37"/>
      <c r="H17" s="37"/>
    </row>
    <row r="19" spans="1:8" ht="22.15" customHeight="1">
      <c r="B19" s="27" t="s">
        <v>68</v>
      </c>
      <c r="C19" s="38" t="s">
        <v>91</v>
      </c>
      <c r="D19" s="39"/>
      <c r="F19" s="23" t="s">
        <v>68</v>
      </c>
      <c r="G19" s="40" t="s">
        <v>92</v>
      </c>
      <c r="H19" s="41"/>
    </row>
    <row r="20" spans="1:8">
      <c r="B20" s="24" t="str">
        <f>IF($E$5="","",IF($E$5="Commune","Maire","Président"))</f>
        <v/>
      </c>
      <c r="C20" s="32" t="str">
        <f>IFERROR(IF($E$5="","",E12/100),"")</f>
        <v/>
      </c>
      <c r="D20" s="25" t="str">
        <f>IFERROR($C20*'indice 100'!$F$6,"")</f>
        <v/>
      </c>
      <c r="E20" s="16"/>
      <c r="F20" s="28" t="s">
        <v>100</v>
      </c>
      <c r="G20" s="35"/>
      <c r="H20" s="25">
        <f>IFERROR($G20*'indice 100'!$F$6,"")</f>
        <v>0</v>
      </c>
    </row>
    <row r="21" spans="1:8">
      <c r="A21" s="17">
        <v>1</v>
      </c>
      <c r="B21" s="26" t="str">
        <f>IF(OR($E$5="",$E$10=""),"",IF($E$5="Commune","Adjoint 1","VP 1"))</f>
        <v/>
      </c>
      <c r="C21" s="33" t="str">
        <f>IF(A21&lt;=$E$10,$E$13/100,"")</f>
        <v/>
      </c>
      <c r="D21" s="20" t="str">
        <f>IFERROR($C21*'indice 100'!$F$6,"")</f>
        <v/>
      </c>
      <c r="E21" s="16"/>
      <c r="F21" s="21"/>
      <c r="G21" s="35"/>
      <c r="H21" s="20">
        <f>IFERROR($G21*'indice 100'!$F$6,"")</f>
        <v>0</v>
      </c>
    </row>
    <row r="22" spans="1:8">
      <c r="A22" s="17">
        <v>2</v>
      </c>
      <c r="B22" s="26" t="str">
        <f>IF(OR($E$5="",$E$10=""),"",IF($E$5="Commune","Adjoint 2","VP 2"))</f>
        <v/>
      </c>
      <c r="C22" s="33" t="str">
        <f t="shared" ref="C22:C40" si="0">IF(A22&lt;=$E$10,$E$13/100,"")</f>
        <v/>
      </c>
      <c r="D22" s="20" t="str">
        <f>IFERROR($C22*'indice 100'!$F$6,"")</f>
        <v/>
      </c>
      <c r="E22" s="16"/>
      <c r="F22" s="21"/>
      <c r="G22" s="35"/>
      <c r="H22" s="20">
        <f>IFERROR($G22*'indice 100'!$F$6,"")</f>
        <v>0</v>
      </c>
    </row>
    <row r="23" spans="1:8">
      <c r="A23" s="17">
        <v>3</v>
      </c>
      <c r="B23" s="26" t="str">
        <f>IF(OR($E$5="",$E$10=""),"",IF($E$5="Commune","Adjoint 3","VP 3"))</f>
        <v/>
      </c>
      <c r="C23" s="33" t="str">
        <f t="shared" si="0"/>
        <v/>
      </c>
      <c r="D23" s="20" t="str">
        <f>IFERROR($C23*'indice 100'!$F$6,"")</f>
        <v/>
      </c>
      <c r="E23" s="16"/>
      <c r="F23" s="21"/>
      <c r="G23" s="35"/>
      <c r="H23" s="20">
        <f>IFERROR($G23*'indice 100'!$F$6,"")</f>
        <v>0</v>
      </c>
    </row>
    <row r="24" spans="1:8">
      <c r="A24" s="17">
        <v>4</v>
      </c>
      <c r="B24" s="26" t="str">
        <f>IF(OR($E$5="",$E$10=""),"",IF($E$5="Commune","Adjoint 4","VP 4"))</f>
        <v/>
      </c>
      <c r="C24" s="33" t="str">
        <f t="shared" si="0"/>
        <v/>
      </c>
      <c r="D24" s="20" t="str">
        <f>IFERROR($C24*'indice 100'!$F$6,"")</f>
        <v/>
      </c>
      <c r="E24" s="16"/>
      <c r="F24" s="21"/>
      <c r="G24" s="35"/>
      <c r="H24" s="20">
        <f>IFERROR($G24*'indice 100'!$F$6,"")</f>
        <v>0</v>
      </c>
    </row>
    <row r="25" spans="1:8">
      <c r="A25" s="17">
        <v>5</v>
      </c>
      <c r="B25" s="26" t="str">
        <f>IF(OR($E$5="",$E$10=""),"",IF($E$5="Commune","Adjoint 5","VP 5"))</f>
        <v/>
      </c>
      <c r="C25" s="33" t="str">
        <f t="shared" si="0"/>
        <v/>
      </c>
      <c r="D25" s="20" t="str">
        <f>IFERROR($C25*'indice 100'!$F$6,"")</f>
        <v/>
      </c>
      <c r="E25" s="16"/>
      <c r="F25" s="21"/>
      <c r="G25" s="35"/>
      <c r="H25" s="20">
        <f>IFERROR($G25*'indice 100'!$F$6,"")</f>
        <v>0</v>
      </c>
    </row>
    <row r="26" spans="1:8">
      <c r="A26" s="17">
        <v>6</v>
      </c>
      <c r="B26" s="26" t="str">
        <f>IF(OR($E$5="",$E$10=""),"",IF($E$5="Commune","Adjoint 6","VP 6"))</f>
        <v/>
      </c>
      <c r="C26" s="33" t="str">
        <f t="shared" si="0"/>
        <v/>
      </c>
      <c r="D26" s="20" t="str">
        <f>IFERROR($C26*'indice 100'!$F$6,"")</f>
        <v/>
      </c>
      <c r="E26" s="16"/>
      <c r="F26" s="21"/>
      <c r="G26" s="35"/>
      <c r="H26" s="20">
        <f>IFERROR($G26*'indice 100'!$F$6,"")</f>
        <v>0</v>
      </c>
    </row>
    <row r="27" spans="1:8">
      <c r="A27" s="17">
        <v>7</v>
      </c>
      <c r="B27" s="26" t="str">
        <f>IF(OR($E$5="",$E$10=""),"",IF($E$5="Commune","Adjoint 7","VP 7"))</f>
        <v/>
      </c>
      <c r="C27" s="33" t="str">
        <f t="shared" si="0"/>
        <v/>
      </c>
      <c r="D27" s="20" t="str">
        <f>IFERROR($C27*'indice 100'!$F$6,"")</f>
        <v/>
      </c>
      <c r="E27" s="16"/>
      <c r="F27" s="21"/>
      <c r="G27" s="35"/>
      <c r="H27" s="20">
        <f>IFERROR($G27*'indice 100'!$F$6,"")</f>
        <v>0</v>
      </c>
    </row>
    <row r="28" spans="1:8">
      <c r="A28" s="17">
        <v>8</v>
      </c>
      <c r="B28" s="26" t="str">
        <f>IF(OR($E$5="",$E$10=""),"",IF($E$5="Commune","Adjoint 8","VP 8"))</f>
        <v/>
      </c>
      <c r="C28" s="33" t="str">
        <f t="shared" si="0"/>
        <v/>
      </c>
      <c r="D28" s="20" t="str">
        <f>IFERROR($C28*'indice 100'!$F$6,"")</f>
        <v/>
      </c>
      <c r="E28" s="16"/>
      <c r="F28" s="21"/>
      <c r="G28" s="35"/>
      <c r="H28" s="20">
        <f>IFERROR($G28*'indice 100'!$F$6,"")</f>
        <v>0</v>
      </c>
    </row>
    <row r="29" spans="1:8">
      <c r="A29" s="17">
        <v>9</v>
      </c>
      <c r="B29" s="26" t="str">
        <f>IF(OR($E$5="",$E$10=""),"",IF($E$5="Commune","Adjoint 9","VP 9"))</f>
        <v/>
      </c>
      <c r="C29" s="33" t="str">
        <f t="shared" si="0"/>
        <v/>
      </c>
      <c r="D29" s="20" t="str">
        <f>IFERROR($C29*'indice 100'!$F$6,"")</f>
        <v/>
      </c>
      <c r="E29" s="16"/>
      <c r="F29" s="21"/>
      <c r="G29" s="35"/>
      <c r="H29" s="20">
        <f>IFERROR($G29*'indice 100'!$F$6,"")</f>
        <v>0</v>
      </c>
    </row>
    <row r="30" spans="1:8">
      <c r="A30" s="17">
        <v>10</v>
      </c>
      <c r="B30" s="26" t="str">
        <f>IF(OR($E$5="",$E$10=""),"",IF($E$5="Commune","Adjoint 10","VP 10"))</f>
        <v/>
      </c>
      <c r="C30" s="33" t="str">
        <f t="shared" si="0"/>
        <v/>
      </c>
      <c r="D30" s="20" t="str">
        <f>IFERROR($C30*'indice 100'!$F$6,"")</f>
        <v/>
      </c>
      <c r="E30" s="16"/>
      <c r="F30" s="21"/>
      <c r="G30" s="35"/>
      <c r="H30" s="20">
        <f>IFERROR($G30*'indice 100'!$F$6,"")</f>
        <v>0</v>
      </c>
    </row>
    <row r="31" spans="1:8">
      <c r="A31" s="17">
        <v>11</v>
      </c>
      <c r="B31" s="26" t="str">
        <f>IF(OR($E$5="",$E$10=""),"",IF($E$5="Commune","Adjoint 11","VP 11"))</f>
        <v/>
      </c>
      <c r="C31" s="33" t="str">
        <f t="shared" si="0"/>
        <v/>
      </c>
      <c r="D31" s="20" t="str">
        <f>IFERROR($C31*'indice 100'!$F$6,"")</f>
        <v/>
      </c>
      <c r="E31" s="16"/>
      <c r="F31" s="21"/>
      <c r="G31" s="35"/>
      <c r="H31" s="20">
        <f>IFERROR($G31*'indice 100'!$F$6,"")</f>
        <v>0</v>
      </c>
    </row>
    <row r="32" spans="1:8">
      <c r="A32" s="17">
        <v>12</v>
      </c>
      <c r="B32" s="26" t="str">
        <f>IF(OR($E$5="",$E$10=""),"",IF($E$5="Commune","Adjoint 12","VP 12"))</f>
        <v/>
      </c>
      <c r="C32" s="33" t="str">
        <f t="shared" si="0"/>
        <v/>
      </c>
      <c r="D32" s="20" t="str">
        <f>IFERROR($C32*'indice 100'!$F$6,"")</f>
        <v/>
      </c>
      <c r="E32" s="16"/>
      <c r="F32" s="21"/>
      <c r="G32" s="35"/>
      <c r="H32" s="20">
        <f>IFERROR($G32*'indice 100'!$F$6,"")</f>
        <v>0</v>
      </c>
    </row>
    <row r="33" spans="1:11">
      <c r="A33" s="17">
        <v>13</v>
      </c>
      <c r="B33" s="26" t="str">
        <f>IF(OR($E$5="",$E$10=""),"",IF($E$5="Commune","Adjoint 13","VP 13"))</f>
        <v/>
      </c>
      <c r="C33" s="33" t="str">
        <f t="shared" si="0"/>
        <v/>
      </c>
      <c r="D33" s="20" t="str">
        <f>IFERROR($C33*'indice 100'!$F$6,"")</f>
        <v/>
      </c>
      <c r="E33" s="16"/>
      <c r="F33" s="21"/>
      <c r="G33" s="35"/>
      <c r="H33" s="20">
        <f>IFERROR($G33*'indice 100'!$F$6,"")</f>
        <v>0</v>
      </c>
    </row>
    <row r="34" spans="1:11">
      <c r="A34" s="17">
        <v>14</v>
      </c>
      <c r="B34" s="26" t="str">
        <f>IF(OR($E$5="",$E$10=""),"",IF($E$5="Commune","Adjoint 14","VP 14"))</f>
        <v/>
      </c>
      <c r="C34" s="33" t="str">
        <f t="shared" si="0"/>
        <v/>
      </c>
      <c r="D34" s="20" t="str">
        <f>IFERROR($C34*'indice 100'!$F$6,"")</f>
        <v/>
      </c>
      <c r="E34" s="16"/>
      <c r="F34" s="21"/>
      <c r="G34" s="35"/>
      <c r="H34" s="20">
        <f>IFERROR($G34*'indice 100'!$F$6,"")</f>
        <v>0</v>
      </c>
    </row>
    <row r="35" spans="1:11">
      <c r="A35" s="17">
        <v>15</v>
      </c>
      <c r="B35" s="26" t="str">
        <f>IF(OR($E$5="",$E$10=""),"",IF($E$5="Commune","Adjoint 15","VP 15"))</f>
        <v/>
      </c>
      <c r="C35" s="33" t="str">
        <f t="shared" si="0"/>
        <v/>
      </c>
      <c r="D35" s="20" t="str">
        <f>IFERROR($C35*'indice 100'!$F$6,"")</f>
        <v/>
      </c>
      <c r="E35" s="16"/>
      <c r="F35" s="21"/>
      <c r="G35" s="35"/>
      <c r="H35" s="20">
        <f>IFERROR($G35*'indice 100'!$F$6,"")</f>
        <v>0</v>
      </c>
    </row>
    <row r="36" spans="1:11">
      <c r="A36" s="17">
        <v>16</v>
      </c>
      <c r="B36" s="26" t="str">
        <f>IF(OR($E$5="",$E$10=""),"",IF($E$5="Commune","Adjoint 16","VP 16"))</f>
        <v/>
      </c>
      <c r="C36" s="33" t="str">
        <f t="shared" si="0"/>
        <v/>
      </c>
      <c r="D36" s="20" t="str">
        <f>IFERROR($C36*'indice 100'!$F$6,"")</f>
        <v/>
      </c>
      <c r="E36" s="16"/>
      <c r="F36" s="21"/>
      <c r="G36" s="35"/>
      <c r="H36" s="20">
        <f>IFERROR($G36*'indice 100'!$F$6,"")</f>
        <v>0</v>
      </c>
    </row>
    <row r="37" spans="1:11">
      <c r="A37" s="17">
        <v>17</v>
      </c>
      <c r="B37" s="26" t="str">
        <f>IF(OR($E$5="",$E$10=""),"",IF($E$5="Commune","Adjoint 17","VP 17"))</f>
        <v/>
      </c>
      <c r="C37" s="33" t="str">
        <f t="shared" si="0"/>
        <v/>
      </c>
      <c r="D37" s="20" t="str">
        <f>IFERROR($C37*'indice 100'!$F$6,"")</f>
        <v/>
      </c>
      <c r="E37" s="16"/>
      <c r="F37" s="21"/>
      <c r="G37" s="35"/>
      <c r="H37" s="20">
        <f>IFERROR($G37*'indice 100'!$F$6,"")</f>
        <v>0</v>
      </c>
    </row>
    <row r="38" spans="1:11">
      <c r="A38" s="17">
        <v>18</v>
      </c>
      <c r="B38" s="26" t="str">
        <f>IF(OR($E$5="",$E$10=""),"",IF($E$5="Commune","Adjoint 18","VP 18"))</f>
        <v/>
      </c>
      <c r="C38" s="33" t="str">
        <f t="shared" si="0"/>
        <v/>
      </c>
      <c r="D38" s="20" t="str">
        <f>IFERROR($C38*'indice 100'!$F$6,"")</f>
        <v/>
      </c>
      <c r="E38" s="16"/>
      <c r="F38" s="21"/>
      <c r="G38" s="35"/>
      <c r="H38" s="20">
        <f>IFERROR($G38*'indice 100'!$F$6,"")</f>
        <v>0</v>
      </c>
    </row>
    <row r="39" spans="1:11">
      <c r="A39" s="17">
        <v>19</v>
      </c>
      <c r="B39" s="26" t="str">
        <f>IF(OR($E$5="",$E$10=""),"",IF($E$5="Commune","Adjoint 19","VP 19"))</f>
        <v/>
      </c>
      <c r="C39" s="33" t="str">
        <f t="shared" si="0"/>
        <v/>
      </c>
      <c r="D39" s="20" t="str">
        <f>IFERROR($C39*'indice 100'!$F$6,"")</f>
        <v/>
      </c>
      <c r="E39" s="16"/>
      <c r="F39" s="21"/>
      <c r="G39" s="35"/>
      <c r="H39" s="20">
        <f>IFERROR($G39*'indice 100'!$F$6,"")</f>
        <v>0</v>
      </c>
    </row>
    <row r="40" spans="1:11" ht="15" thickBot="1">
      <c r="A40" s="17">
        <v>20</v>
      </c>
      <c r="B40" s="26" t="str">
        <f>IF(OR($E$5="",$E$10=""),"",IF($E$5="Commune","Adjoint 20","VP 20"))</f>
        <v/>
      </c>
      <c r="C40" s="33" t="str">
        <f t="shared" si="0"/>
        <v/>
      </c>
      <c r="D40" s="34" t="str">
        <f>IFERROR($C40*'indice 100'!$F$6,"")</f>
        <v/>
      </c>
      <c r="E40" s="16"/>
      <c r="F40" s="21"/>
      <c r="G40" s="35"/>
      <c r="H40" s="34">
        <f>IFERROR($G40*'indice 100'!$F$6,"")</f>
        <v>0</v>
      </c>
    </row>
    <row r="41" spans="1:11" s="18" customFormat="1" ht="21" customHeight="1" thickTop="1" thickBot="1">
      <c r="B41" s="42" t="s">
        <v>69</v>
      </c>
      <c r="C41" s="43"/>
      <c r="D41" s="22">
        <f>SUM(D20:D40)</f>
        <v>0</v>
      </c>
      <c r="E41" s="19"/>
      <c r="F41" s="42" t="s">
        <v>69</v>
      </c>
      <c r="G41" s="43"/>
      <c r="H41" s="22">
        <f t="shared" ref="H41" si="1">SUM(H20:H40)</f>
        <v>0</v>
      </c>
      <c r="J41" s="31"/>
      <c r="K41" s="31"/>
    </row>
    <row r="42" spans="1:11" ht="33" customHeight="1" thickTop="1">
      <c r="C42" s="50" t="str">
        <f>IF(D41&gt;$E$14, "L'enveloppe est dépassée","")</f>
        <v/>
      </c>
      <c r="D42" s="50"/>
      <c r="E42" s="50"/>
      <c r="F42" s="50"/>
      <c r="G42" s="50" t="str">
        <f>IF(H41&gt;$E$14, "L'enveloppe est dépassée","")</f>
        <v/>
      </c>
      <c r="H42" s="50"/>
    </row>
  </sheetData>
  <sheetProtection algorithmName="SHA-512" hashValue="51GNxp1JZk3RuaPXCpkZGUUwuZlUYW14GC+jzzpWKsOyulZK6GLu03J6oeWXm74KScRJCTs3LsRxHAQhAkYFAg==" saltValue="8ItRrO6ZDn43eg29PMFGFg==" spinCount="100000" sheet="1" selectLockedCells="1"/>
  <mergeCells count="36">
    <mergeCell ref="E11:F11"/>
    <mergeCell ref="G11:H11"/>
    <mergeCell ref="E12:F12"/>
    <mergeCell ref="E13:F13"/>
    <mergeCell ref="G12:H12"/>
    <mergeCell ref="G13:H13"/>
    <mergeCell ref="E8:H8"/>
    <mergeCell ref="B4:D4"/>
    <mergeCell ref="E4:H4"/>
    <mergeCell ref="B5:D5"/>
    <mergeCell ref="E5:H5"/>
    <mergeCell ref="B6:D6"/>
    <mergeCell ref="E6:H6"/>
    <mergeCell ref="C42:D42"/>
    <mergeCell ref="E42:F42"/>
    <mergeCell ref="G42:H42"/>
    <mergeCell ref="B14:D14"/>
    <mergeCell ref="E14:H14"/>
    <mergeCell ref="B15:D15"/>
    <mergeCell ref="E15:H15"/>
    <mergeCell ref="J6:J8"/>
    <mergeCell ref="B17:H17"/>
    <mergeCell ref="C19:D19"/>
    <mergeCell ref="G19:H19"/>
    <mergeCell ref="B41:C41"/>
    <mergeCell ref="F41:G41"/>
    <mergeCell ref="B11:D11"/>
    <mergeCell ref="B12:D12"/>
    <mergeCell ref="B13:D13"/>
    <mergeCell ref="B7:D7"/>
    <mergeCell ref="E7:H7"/>
    <mergeCell ref="B10:D10"/>
    <mergeCell ref="E10:H10"/>
    <mergeCell ref="B9:D9"/>
    <mergeCell ref="E9:H9"/>
    <mergeCell ref="B8:D8"/>
  </mergeCells>
  <conditionalFormatting sqref="B21:B40">
    <cfRule type="expression" dxfId="2" priority="6">
      <formula>$A21&gt;$E$10</formula>
    </cfRule>
  </conditionalFormatting>
  <conditionalFormatting sqref="E7:H7 E8:E9 E12:E13 G12:G13">
    <cfRule type="containsText" dxfId="1" priority="3" operator="containsText" text="Tranche de population inappropriée">
      <formula>NOT(ISERROR(SEARCH("Tranche de population inappropriée",E7)))</formula>
    </cfRule>
  </conditionalFormatting>
  <conditionalFormatting sqref="E9:H9">
    <cfRule type="containsText" dxfId="0" priority="5" operator="containsText" text="Tranche de population inappropriée">
      <formula>NOT(ISERROR(SEARCH("Tranche de population inappropriée",E9)))</formula>
    </cfRule>
  </conditionalFormatting>
  <dataValidations count="5">
    <dataValidation type="list" allowBlank="1" showInputMessage="1" showErrorMessage="1" sqref="E6" xr:uid="{6C19D44E-2880-404D-8D3B-FAFA5BA96445}">
      <formula1>NTranchepop</formula1>
    </dataValidation>
    <dataValidation type="list" allowBlank="1" showErrorMessage="1" errorTitle="listderoul" error="La saisie n'est pas dans la liste. Utiliser la liste déroulante à droite de la cellule" promptTitle="type" prompt="Indiquer le type de collectivité ou d'établissement" sqref="E5:H5" xr:uid="{7878332E-8C51-4589-9208-A57E4A55EA49}">
      <formula1>NCommune</formula1>
    </dataValidation>
    <dataValidation type="custom" allowBlank="1" showInputMessage="1" showErrorMessage="1" errorTitle="Erreur sur le nombre d'ajoints" error="Le nombre maxi d'adjoints est dépassé" sqref="E10:H10" xr:uid="{7A6CBC61-024A-4103-9D72-3997F4A5C7CF}">
      <formula1>E10&lt;=E9</formula1>
    </dataValidation>
    <dataValidation type="custom" allowBlank="1" showInputMessage="1" showErrorMessage="1" errorTitle="Nb_adj" error="Le nombre maxi d'adjoints est dépassé" sqref="E11" xr:uid="{88883364-B173-4821-B39E-0B423A9250E9}">
      <formula1>E11&lt;=G9</formula1>
    </dataValidation>
    <dataValidation type="custom" allowBlank="1" showInputMessage="1" showErrorMessage="1" errorTitle="Erreur sur le nombre d'élus" error="Le nombre réel d'élus  dépasse le nombre maxi autorisé !" sqref="E8:H8" xr:uid="{7E849147-CD32-437C-8F76-DAE63E03CB80}">
      <formula1>E8&lt;=E7</formula1>
    </dataValidation>
  </dataValidations>
  <printOptions horizontalCentered="1"/>
  <pageMargins left="0.23622047244094491" right="0.23622047244094491" top="0.31496062992125984" bottom="0.7480314960629921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8</vt:i4>
      </vt:variant>
    </vt:vector>
  </HeadingPairs>
  <TitlesOfParts>
    <vt:vector size="12" baseType="lpstr">
      <vt:lpstr>Tableau</vt:lpstr>
      <vt:lpstr>Liste</vt:lpstr>
      <vt:lpstr>indice 100</vt:lpstr>
      <vt:lpstr>Indemn Maires et Adjoints</vt:lpstr>
      <vt:lpstr>NCommune</vt:lpstr>
      <vt:lpstr>NPop_dep</vt:lpstr>
      <vt:lpstr>Ntranchceop_CA</vt:lpstr>
      <vt:lpstr>NTranchepop</vt:lpstr>
      <vt:lpstr>NType2col</vt:lpstr>
      <vt:lpstr>Ntypecol</vt:lpstr>
      <vt:lpstr>TType2col</vt:lpstr>
      <vt:lpstr>'Indemn Maires et Adjoints'!Zone_d_impression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PHILIPPON</dc:creator>
  <cp:lastModifiedBy>Christophe CHABRIER</cp:lastModifiedBy>
  <cp:lastPrinted>2026-03-12T21:03:40Z</cp:lastPrinted>
  <dcterms:created xsi:type="dcterms:W3CDTF">2020-03-09T09:54:23Z</dcterms:created>
  <dcterms:modified xsi:type="dcterms:W3CDTF">2026-03-17T14:35:11Z</dcterms:modified>
</cp:coreProperties>
</file>